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guém\OneDrive\Documentos\AnexosTR (22.02.2024)\13 - Anexo XIII - Dimencionamento e tecnologias\"/>
    </mc:Choice>
  </mc:AlternateContent>
  <xr:revisionPtr revIDLastSave="0" documentId="13_ncr:1_{B08BEA13-998D-4BB5-8B49-9D73769F0CA6}" xr6:coauthVersionLast="47" xr6:coauthVersionMax="47" xr10:uidLastSave="{00000000-0000-0000-0000-000000000000}"/>
  <bookViews>
    <workbookView xWindow="28680" yWindow="-120" windowWidth="29040" windowHeight="15840" tabRatio="840" firstSheet="1" activeTab="1" xr2:uid="{9F9EF69D-C08C-49AA-9C34-730E8C0C8A5F}"/>
  </bookViews>
  <sheets>
    <sheet name="ANTERIOR X ATUAL" sheetId="24" state="hidden" r:id="rId1"/>
    <sheet name="TOTAL EDITAL" sheetId="3" r:id="rId2"/>
    <sheet name="MODELO" sheetId="6" state="hidden" r:id="rId3"/>
    <sheet name="COGETIC" sheetId="10" state="hidden" r:id="rId4"/>
    <sheet name="ENSP" sheetId="8" state="hidden" r:id="rId5"/>
    <sheet name="CDTS" sheetId="9" state="hidden" r:id="rId6"/>
    <sheet name="CEARA" sheetId="11" state="hidden" r:id="rId7"/>
    <sheet name="IAM" sheetId="12" state="hidden" r:id="rId8"/>
    <sheet name="ICICT" sheetId="13" state="hidden" r:id="rId9"/>
    <sheet name="ICTB" sheetId="14" state="hidden" r:id="rId10"/>
    <sheet name="IFF" sheetId="15" state="hidden" r:id="rId11"/>
    <sheet name="INCQS" sheetId="16" state="hidden" r:id="rId12"/>
    <sheet name="BIO" sheetId="17" state="hidden" r:id="rId13"/>
    <sheet name="IGM" sheetId="18" state="hidden" r:id="rId14"/>
    <sheet name="MANAUS" sheetId="20" state="hidden" r:id="rId15"/>
    <sheet name="FAR" sheetId="22" state="hidden" r:id="rId16"/>
    <sheet name="INI" sheetId="21" state="hidden" r:id="rId17"/>
    <sheet name="IOC" sheetId="23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3" l="1"/>
  <c r="X25" i="3" s="1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3" i="3"/>
  <c r="X24" i="3"/>
  <c r="X4" i="3"/>
  <c r="X32" i="3"/>
  <c r="X31" i="3"/>
  <c r="X30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2" i="3" l="1"/>
  <c r="S31" i="3"/>
  <c r="J32" i="3"/>
  <c r="J31" i="3"/>
  <c r="J30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5" i="3" s="1"/>
  <c r="N6" i="3" l="1"/>
  <c r="N7" i="3"/>
  <c r="O6" i="3"/>
  <c r="O7" i="3"/>
  <c r="W31" i="3" l="1"/>
  <c r="W32" i="3"/>
  <c r="W30" i="3"/>
  <c r="K31" i="3"/>
  <c r="K32" i="3"/>
  <c r="K30" i="3"/>
  <c r="M30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4" i="3"/>
  <c r="N30" i="3" l="1"/>
  <c r="U31" i="3" l="1"/>
  <c r="U32" i="3"/>
  <c r="U30" i="3"/>
  <c r="V31" i="3" l="1"/>
  <c r="V32" i="3"/>
  <c r="V30" i="3"/>
  <c r="V5" i="3" l="1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4" i="3"/>
  <c r="U5" i="3" l="1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4" i="3"/>
  <c r="U25" i="3" l="1"/>
  <c r="T31" i="3"/>
  <c r="T32" i="3"/>
  <c r="T30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4" i="3"/>
  <c r="R31" i="3" l="1"/>
  <c r="R32" i="3"/>
  <c r="R30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4" i="3"/>
  <c r="Q31" i="3" l="1"/>
  <c r="Q32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4" i="3"/>
  <c r="Q30" i="3"/>
  <c r="P31" i="3"/>
  <c r="P32" i="3"/>
  <c r="P30" i="3"/>
  <c r="P5" i="3" l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2" i="3"/>
  <c r="P23" i="3"/>
  <c r="P24" i="3"/>
  <c r="P4" i="3"/>
  <c r="P21" i="3" l="1"/>
  <c r="P20" i="3"/>
  <c r="O31" i="3" l="1"/>
  <c r="O32" i="3"/>
  <c r="O30" i="3"/>
  <c r="O5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4" i="3"/>
  <c r="I22" i="3" l="1"/>
  <c r="I23" i="3"/>
  <c r="I24" i="3"/>
  <c r="N5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4" i="3"/>
  <c r="N31" i="3"/>
  <c r="N32" i="3"/>
  <c r="M31" i="3" l="1"/>
  <c r="M32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4" i="3"/>
  <c r="L31" i="3" l="1"/>
  <c r="L32" i="3"/>
  <c r="L30" i="3"/>
  <c r="L25" i="3"/>
  <c r="M25" i="3"/>
  <c r="N25" i="3"/>
  <c r="O25" i="3"/>
  <c r="P25" i="3"/>
  <c r="Q25" i="3"/>
  <c r="R25" i="3"/>
  <c r="S25" i="3"/>
  <c r="T25" i="3"/>
  <c r="V25" i="3"/>
  <c r="W25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4" i="3"/>
  <c r="K4" i="3"/>
  <c r="K5" i="3" l="1"/>
  <c r="K6" i="3"/>
  <c r="K7" i="3"/>
  <c r="K8" i="3"/>
  <c r="K25" i="3" s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I19" i="24" l="1"/>
  <c r="C12" i="24"/>
  <c r="C7" i="24"/>
  <c r="G4" i="21"/>
  <c r="G5" i="21"/>
  <c r="G6" i="21"/>
  <c r="G7" i="21"/>
  <c r="G8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3" i="21"/>
  <c r="H19" i="24" l="1"/>
  <c r="F25" i="8" l="1"/>
  <c r="E24" i="9"/>
  <c r="E24" i="8"/>
  <c r="E28" i="10"/>
  <c r="I6" i="3" l="1"/>
  <c r="I7" i="3"/>
  <c r="I8" i="3"/>
  <c r="I10" i="3"/>
  <c r="I11" i="3"/>
  <c r="I18" i="3"/>
  <c r="I19" i="3"/>
  <c r="F4" i="21"/>
  <c r="F5" i="21"/>
  <c r="F6" i="21"/>
  <c r="F7" i="21"/>
  <c r="F8" i="21"/>
  <c r="F9" i="21"/>
  <c r="G9" i="21" s="1"/>
  <c r="F10" i="21"/>
  <c r="G10" i="21" s="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6" i="10"/>
  <c r="F27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3" i="10"/>
  <c r="I5" i="3"/>
  <c r="I9" i="3"/>
  <c r="I12" i="3"/>
  <c r="I13" i="3"/>
  <c r="I14" i="3"/>
  <c r="I15" i="3"/>
  <c r="I16" i="3"/>
  <c r="I17" i="3"/>
  <c r="I20" i="3"/>
  <c r="I21" i="3"/>
  <c r="C17" i="24"/>
  <c r="D17" i="24" s="1"/>
  <c r="C14" i="24"/>
  <c r="D14" i="24" s="1"/>
  <c r="C6" i="24"/>
  <c r="D6" i="24" s="1"/>
  <c r="C5" i="24"/>
  <c r="D5" i="24" s="1"/>
  <c r="C4" i="24"/>
  <c r="D4" i="24" s="1"/>
  <c r="C3" i="24"/>
  <c r="B18" i="24"/>
  <c r="D12" i="24"/>
  <c r="D3" i="24"/>
  <c r="F25" i="10" l="1"/>
  <c r="J26" i="23"/>
  <c r="G26" i="10" l="1"/>
  <c r="H26" i="10" s="1"/>
  <c r="F30" i="10"/>
  <c r="H25" i="23"/>
  <c r="H25" i="20"/>
  <c r="H25" i="15"/>
  <c r="H25" i="14"/>
  <c r="Y23" i="3" l="1"/>
  <c r="Y22" i="3"/>
  <c r="Y24" i="3"/>
  <c r="F25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3" i="23"/>
  <c r="F25" i="21"/>
  <c r="H25" i="21" s="1"/>
  <c r="D7" i="24" s="1"/>
  <c r="F3" i="21"/>
  <c r="F3" i="22"/>
  <c r="F25" i="22" s="1"/>
  <c r="H25" i="22" s="1"/>
  <c r="C11" i="24" s="1"/>
  <c r="D11" i="24" s="1"/>
  <c r="F25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5" i="18"/>
  <c r="H25" i="18" s="1"/>
  <c r="C9" i="24" s="1"/>
  <c r="D9" i="24" s="1"/>
  <c r="F3" i="18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25" i="17" s="1"/>
  <c r="H25" i="17" s="1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5" i="15" s="1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3" i="12"/>
  <c r="F25" i="12" s="1"/>
  <c r="H25" i="12" s="1"/>
  <c r="C15" i="24" s="1"/>
  <c r="D15" i="24" s="1"/>
  <c r="F3" i="11"/>
  <c r="F25" i="11" s="1"/>
  <c r="H25" i="11" s="1"/>
  <c r="C13" i="24" s="1"/>
  <c r="D13" i="24" s="1"/>
  <c r="F3" i="9"/>
  <c r="F25" i="9" s="1"/>
  <c r="H25" i="9" s="1"/>
  <c r="C16" i="24" s="1"/>
  <c r="D16" i="24" s="1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Z24" i="3" l="1"/>
  <c r="Z22" i="3"/>
  <c r="Z23" i="3"/>
  <c r="H25" i="8"/>
  <c r="C8" i="24" s="1"/>
  <c r="D8" i="24" s="1"/>
  <c r="F25" i="16"/>
  <c r="H25" i="16" s="1"/>
  <c r="H32" i="17"/>
  <c r="J26" i="17"/>
  <c r="F25" i="13"/>
  <c r="H25" i="13" s="1"/>
  <c r="F25" i="14"/>
  <c r="Y20" i="3" l="1"/>
  <c r="Y21" i="3"/>
  <c r="Z21" i="3" l="1"/>
  <c r="Z20" i="3"/>
  <c r="I30" i="3" l="1"/>
  <c r="Y30" i="3" s="1"/>
  <c r="Y6" i="3"/>
  <c r="Y12" i="3"/>
  <c r="Y14" i="3"/>
  <c r="I31" i="3" l="1"/>
  <c r="Y31" i="3" s="1"/>
  <c r="I4" i="3"/>
  <c r="I25" i="3" s="1"/>
  <c r="Y13" i="3"/>
  <c r="Y5" i="3"/>
  <c r="I32" i="3"/>
  <c r="Y32" i="3" s="1"/>
  <c r="Y17" i="3"/>
  <c r="Y9" i="3"/>
  <c r="Y11" i="3"/>
  <c r="Y16" i="3"/>
  <c r="Y8" i="3"/>
  <c r="Y18" i="3"/>
  <c r="Y19" i="3"/>
  <c r="Y15" i="3"/>
  <c r="Y7" i="3"/>
  <c r="Y10" i="3"/>
  <c r="Z14" i="3"/>
  <c r="Z6" i="3"/>
  <c r="Z12" i="3"/>
  <c r="Y4" i="3" l="1"/>
  <c r="Z32" i="3"/>
  <c r="Z31" i="3"/>
  <c r="Z30" i="3"/>
  <c r="Z9" i="3"/>
  <c r="Z15" i="3"/>
  <c r="Z19" i="3"/>
  <c r="Z7" i="3"/>
  <c r="Z18" i="3"/>
  <c r="Z10" i="3"/>
  <c r="Z17" i="3"/>
  <c r="Z5" i="3"/>
  <c r="Z13" i="3"/>
  <c r="Z8" i="3"/>
  <c r="Z16" i="3"/>
  <c r="Z11" i="3"/>
  <c r="Z4" i="3" l="1"/>
  <c r="Z33" i="3"/>
  <c r="Z25" i="3" l="1"/>
  <c r="Z36" i="3" s="1"/>
  <c r="H30" i="10" l="1"/>
  <c r="C10" i="24" l="1"/>
  <c r="C18" i="24" s="1"/>
  <c r="D18" i="24" s="1"/>
  <c r="D10" i="24"/>
</calcChain>
</file>

<file path=xl/sharedStrings.xml><?xml version="1.0" encoding="utf-8"?>
<sst xmlns="http://schemas.openxmlformats.org/spreadsheetml/2006/main" count="656" uniqueCount="145">
  <si>
    <t>LOTE 1 - DESENVOLVIMENTO, MANUTENÇÃO E SUSTENTAÇÃO DE SOFTWARE (grupo de órgãos 1)</t>
  </si>
  <si>
    <t>ITEM</t>
  </si>
  <si>
    <t>DESCRIÇÃO DO ITEM</t>
  </si>
  <si>
    <t>Código CATSER</t>
  </si>
  <si>
    <t>Descrição CATSER</t>
  </si>
  <si>
    <t>UNIDADE</t>
  </si>
  <si>
    <t>VALOR MENSAL</t>
  </si>
  <si>
    <t>VALOR TOTAL (12 MESES)</t>
  </si>
  <si>
    <t>ARQSOF-01</t>
  </si>
  <si>
    <t>Implementação Ágil de Software</t>
  </si>
  <si>
    <t>Perfil Profissional Alocado</t>
  </si>
  <si>
    <t>ARQSOF-02 </t>
  </si>
  <si>
    <t>Arquiteto de Software – Sênior </t>
  </si>
  <si>
    <t>DESENV-01 </t>
  </si>
  <si>
    <t>Desenvolvedor de Software – Junior </t>
  </si>
  <si>
    <t>DESENV-02 </t>
  </si>
  <si>
    <t>Desenvolvedor de Software – Pleno </t>
  </si>
  <si>
    <t>DESENV-03 </t>
  </si>
  <si>
    <t>Desenvolvedor de Software – Sênior </t>
  </si>
  <si>
    <t>LDESENV </t>
  </si>
  <si>
    <t>Líder Técnico de Desenvolvimento </t>
  </si>
  <si>
    <t>ANR-01 </t>
  </si>
  <si>
    <t>Analista de Negócios/Requisitos Júnior </t>
  </si>
  <si>
    <t>ANR-02 </t>
  </si>
  <si>
    <t>Analista de Negócios/Requisitos Pleno </t>
  </si>
  <si>
    <t>ANR-03 </t>
  </si>
  <si>
    <t>Analista de Negócios/Requisitos Sênior </t>
  </si>
  <si>
    <t>ABI-01 </t>
  </si>
  <si>
    <t>Analista de BI Júnior </t>
  </si>
  <si>
    <t>ABI-02 </t>
  </si>
  <si>
    <t>Analista de BI Pleno </t>
  </si>
  <si>
    <t>ABI-03 </t>
  </si>
  <si>
    <t>Analista de BI Sênior </t>
  </si>
  <si>
    <t>ADADOS-02 </t>
  </si>
  <si>
    <t>Administrador de Dados Pleno </t>
  </si>
  <si>
    <t>ADADOS-03 </t>
  </si>
  <si>
    <t>Administrador de Dados Sênior </t>
  </si>
  <si>
    <t>SCRUM </t>
  </si>
  <si>
    <t>Scrum Master </t>
  </si>
  <si>
    <t>GEPRO </t>
  </si>
  <si>
    <t>Gerente de projetos de tecnologia da informação </t>
  </si>
  <si>
    <t>VALOR TOTAL ESTIMADO LOTE 1:</t>
  </si>
  <si>
    <t>ATQ-01 </t>
  </si>
  <si>
    <t>Analista de Testes/Qualidade – Junior </t>
  </si>
  <si>
    <t>Qualidade de Software</t>
  </si>
  <si>
    <t>ATQ-02 </t>
  </si>
  <si>
    <t>Analista de Testes/Qualidade – Pleno </t>
  </si>
  <si>
    <t>ATQ-03 </t>
  </si>
  <si>
    <t>Analista de Testes/Qualidade – Sênior </t>
  </si>
  <si>
    <t>VALOR TOTAL ESTIMADO LOTE 2:</t>
  </si>
  <si>
    <t>CODIGO</t>
  </si>
  <si>
    <t>TIPO DE EXECUÇÃO (item 6.1.3)</t>
  </si>
  <si>
    <t>VALOR UNITÁRIO ESTIMADO</t>
  </si>
  <si>
    <t xml:space="preserve">QTD TOTAL MINIMA </t>
  </si>
  <si>
    <r>
      <t>Arquiteto de </t>
    </r>
    <r>
      <rPr>
        <sz val="10"/>
        <color rgb="FF555555"/>
        <rFont val="Arial"/>
        <family val="2"/>
      </rPr>
      <t>Software </t>
    </r>
    <r>
      <rPr>
        <sz val="10"/>
        <color rgb="FF555555"/>
        <rFont val="Arial"/>
        <family val="2"/>
      </rPr>
      <t>– Pleno</t>
    </r>
  </si>
  <si>
    <r>
      <t>Arquiteto de </t>
    </r>
    <r>
      <rPr>
        <sz val="10"/>
        <color rgb="FF555555"/>
        <rFont val="Arial"/>
        <family val="2"/>
      </rPr>
      <t>Software </t>
    </r>
    <r>
      <rPr>
        <sz val="10"/>
        <color rgb="FF555555"/>
        <rFont val="Arial"/>
        <family val="2"/>
      </rPr>
      <t>– Sênior</t>
    </r>
  </si>
  <si>
    <t>Analista de Testes/Qualidade – Junior</t>
  </si>
  <si>
    <t>Analista de Testes/Qualidade – Pleno</t>
  </si>
  <si>
    <t>Analista de Testes/Qualidade – Sênior</t>
  </si>
  <si>
    <r>
      <t>Desenvolvedor de </t>
    </r>
    <r>
      <rPr>
        <sz val="10"/>
        <color rgb="FF555555"/>
        <rFont val="Arial"/>
        <family val="2"/>
      </rPr>
      <t>Software </t>
    </r>
    <r>
      <rPr>
        <sz val="10"/>
        <color rgb="FF555555"/>
        <rFont val="Arial"/>
        <family val="2"/>
      </rPr>
      <t>– Junior</t>
    </r>
  </si>
  <si>
    <r>
      <t>Desenvolvedor de </t>
    </r>
    <r>
      <rPr>
        <sz val="10"/>
        <color rgb="FF555555"/>
        <rFont val="Arial"/>
        <family val="2"/>
      </rPr>
      <t>Software </t>
    </r>
    <r>
      <rPr>
        <sz val="10"/>
        <color rgb="FF555555"/>
        <rFont val="Arial"/>
        <family val="2"/>
      </rPr>
      <t>– Pleno</t>
    </r>
  </si>
  <si>
    <r>
      <t>Desenvolvedor de </t>
    </r>
    <r>
      <rPr>
        <sz val="10"/>
        <color rgb="FF555555"/>
        <rFont val="Arial"/>
        <family val="2"/>
      </rPr>
      <t>Software – Sênior</t>
    </r>
  </si>
  <si>
    <t>Líder Técnico de Desenvolvimento</t>
  </si>
  <si>
    <t>Analista de Negócios/Requisitos Júnior</t>
  </si>
  <si>
    <t>Analista de Negócios/Requisitos Pleno</t>
  </si>
  <si>
    <t>Analista de Negócios/Requisitos Sênior</t>
  </si>
  <si>
    <t>Analista de BI Júnior</t>
  </si>
  <si>
    <t>Analista de BI Pleno</t>
  </si>
  <si>
    <t>Analista de BI Sênior</t>
  </si>
  <si>
    <t>Administrador de Dados Pleno</t>
  </si>
  <si>
    <t>Administrador de Dados Sênior</t>
  </si>
  <si>
    <t>Scrum Master</t>
  </si>
  <si>
    <t>Analista de UX/UI Pleno</t>
  </si>
  <si>
    <t>Analista de UX/UI Sênior</t>
  </si>
  <si>
    <t>QTD TOTAL</t>
  </si>
  <si>
    <t>VALORUNITÁRIOESTIMADO</t>
  </si>
  <si>
    <t>Arquiteto deSoftware– Pleno</t>
  </si>
  <si>
    <t>Arquiteto deSoftware– Sênior</t>
  </si>
  <si>
    <t>Desenvolvedor deSoftware– Junior</t>
  </si>
  <si>
    <t>Desenvolvedor deSoftware– Pleno</t>
  </si>
  <si>
    <t>Desenvolvedor deSoftware– Sênior</t>
  </si>
  <si>
    <t>Gerente de projetos de tecnologia da informação</t>
  </si>
  <si>
    <t>QTD COGETIC</t>
  </si>
  <si>
    <t>QTD 
ENSP</t>
  </si>
  <si>
    <t>QTD CDTS</t>
  </si>
  <si>
    <t>QTD CEARA</t>
  </si>
  <si>
    <t>QTD 
IAM</t>
  </si>
  <si>
    <t>QTD 
ICICT</t>
  </si>
  <si>
    <t>QTD 
ICTB</t>
  </si>
  <si>
    <t>QTD
IFF</t>
  </si>
  <si>
    <t>QTD
INCQS</t>
  </si>
  <si>
    <t>QTD
BIO</t>
  </si>
  <si>
    <t>Arquiteto de Software – Pleno</t>
  </si>
  <si>
    <t>QTD 
IGM</t>
  </si>
  <si>
    <t>QTD
MANAUS</t>
  </si>
  <si>
    <t>QTD 
FAR</t>
  </si>
  <si>
    <t>QTD
INI</t>
  </si>
  <si>
    <t>QTD 
IOC</t>
  </si>
  <si>
    <t>TOTAL UNIDADE</t>
  </si>
  <si>
    <t>TOTAL POSTO</t>
  </si>
  <si>
    <t>VALOR TOTAL
 (12 MESES)</t>
  </si>
  <si>
    <t>12 Meses</t>
  </si>
  <si>
    <t>ANTERIOR</t>
  </si>
  <si>
    <t>BIO</t>
  </si>
  <si>
    <t>12 Meses NOVO</t>
  </si>
  <si>
    <t>FISCALIZAÇÃO</t>
  </si>
  <si>
    <t>LOTE 2 - SERVIÇOS TESTE E QUALIDADE AVANÇADA</t>
  </si>
  <si>
    <t>COMPARATIVO VALOR - ANTERIOR E ATUAL</t>
  </si>
  <si>
    <t>VLR ANTERIOR</t>
  </si>
  <si>
    <t>VLR ATUAL</t>
  </si>
  <si>
    <t>%%%</t>
  </si>
  <si>
    <t>QTD ANTERIOR</t>
  </si>
  <si>
    <t>QTD ATUAL</t>
  </si>
  <si>
    <t>OBS:</t>
  </si>
  <si>
    <t>MANAUS</t>
  </si>
  <si>
    <t>Não tinha equipe</t>
  </si>
  <si>
    <t>ICICT</t>
  </si>
  <si>
    <t>Inclusão de 3 postos</t>
  </si>
  <si>
    <t>IOC</t>
  </si>
  <si>
    <t>Inclusão de 4 postos</t>
  </si>
  <si>
    <t>INI</t>
  </si>
  <si>
    <t>ENSP</t>
  </si>
  <si>
    <t>Alterou Perfil</t>
  </si>
  <si>
    <t>IGM</t>
  </si>
  <si>
    <t>COGETIC</t>
  </si>
  <si>
    <t>FAR</t>
  </si>
  <si>
    <t>INCQS</t>
  </si>
  <si>
    <t>CEARA</t>
  </si>
  <si>
    <t>IFF</t>
  </si>
  <si>
    <t>IAM</t>
  </si>
  <si>
    <t>CDTS</t>
  </si>
  <si>
    <t>ICTB</t>
  </si>
  <si>
    <t>TOTAL</t>
  </si>
  <si>
    <t>Inclusão de 13 postos</t>
  </si>
  <si>
    <t>ANO</t>
  </si>
  <si>
    <t>MÊS</t>
  </si>
  <si>
    <t>PF MEDIA SPRINT</t>
  </si>
  <si>
    <t>TOTAL POR SPRINT</t>
  </si>
  <si>
    <t>3 dev sustentação e 3 qualidade</t>
  </si>
  <si>
    <t>VALOR TOTAL ESTIMADO LOTE 1 + LOTE 2:</t>
  </si>
  <si>
    <t>Quant. Total</t>
  </si>
  <si>
    <t>AUX/UI-01</t>
  </si>
  <si>
    <t>AUX/UI-02</t>
  </si>
  <si>
    <t>CÓD. DO ITEM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</si>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</sst>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80008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7"/>
      <name val="Arial"/>
      <family val="2"/>
    </font>
    <font>
      <sz val="10"/>
      <name val="Calibri"/>
      <family val="2"/>
    </font>
    <font>
      <b/>
      <sz val="10"/>
      <color rgb="FF800080"/>
      <name val="Arial"/>
      <family val="2"/>
    </font>
    <font>
      <sz val="10"/>
      <color rgb="FF000000"/>
      <name val="Arial"/>
      <family val="2"/>
    </font>
    <font>
      <sz val="10"/>
      <color rgb="FF555555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6" fillId="2" borderId="0" xfId="0" applyFont="1" applyFill="1"/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/>
    <xf numFmtId="0" fontId="7" fillId="4" borderId="7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wrapText="1"/>
    </xf>
    <xf numFmtId="164" fontId="4" fillId="4" borderId="8" xfId="0" applyNumberFormat="1" applyFont="1" applyFill="1" applyBorder="1"/>
    <xf numFmtId="164" fontId="4" fillId="4" borderId="7" xfId="0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49" fontId="5" fillId="2" borderId="0" xfId="0" applyNumberFormat="1" applyFont="1" applyFill="1" applyAlignment="1">
      <alignment wrapText="1"/>
    </xf>
    <xf numFmtId="0" fontId="2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justify" vertical="center" wrapText="1"/>
    </xf>
    <xf numFmtId="0" fontId="0" fillId="5" borderId="11" xfId="0" applyFill="1" applyBorder="1" applyAlignment="1">
      <alignment vertical="top" wrapText="1"/>
    </xf>
    <xf numFmtId="0" fontId="0" fillId="0" borderId="11" xfId="0" applyBorder="1"/>
    <xf numFmtId="44" fontId="0" fillId="5" borderId="11" xfId="1" applyFont="1" applyFill="1" applyBorder="1" applyAlignment="1">
      <alignment vertical="top" wrapText="1"/>
    </xf>
    <xf numFmtId="44" fontId="0" fillId="0" borderId="11" xfId="1" applyFont="1" applyBorder="1"/>
    <xf numFmtId="44" fontId="0" fillId="0" borderId="0" xfId="1" applyFont="1"/>
    <xf numFmtId="0" fontId="4" fillId="2" borderId="0" xfId="0" applyFont="1" applyFill="1" applyAlignment="1">
      <alignment vertical="center"/>
    </xf>
    <xf numFmtId="164" fontId="4" fillId="4" borderId="11" xfId="0" applyNumberFormat="1" applyFont="1" applyFill="1" applyBorder="1"/>
    <xf numFmtId="0" fontId="2" fillId="7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8" fillId="4" borderId="4" xfId="0" applyNumberFormat="1" applyFont="1" applyFill="1" applyBorder="1" applyAlignment="1">
      <alignment wrapText="1"/>
    </xf>
    <xf numFmtId="164" fontId="8" fillId="4" borderId="7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4" fontId="0" fillId="0" borderId="11" xfId="0" applyNumberFormat="1" applyBorder="1"/>
    <xf numFmtId="44" fontId="0" fillId="9" borderId="11" xfId="1" applyFont="1" applyFill="1" applyBorder="1"/>
    <xf numFmtId="164" fontId="0" fillId="0" borderId="0" xfId="0" applyNumberFormat="1"/>
    <xf numFmtId="8" fontId="11" fillId="0" borderId="0" xfId="0" applyNumberFormat="1" applyFont="1"/>
    <xf numFmtId="0" fontId="0" fillId="0" borderId="3" xfId="0" applyBorder="1" applyAlignment="1">
      <alignment horizontal="justify" vertical="center" wrapText="1"/>
    </xf>
    <xf numFmtId="8" fontId="12" fillId="0" borderId="4" xfId="0" applyNumberFormat="1" applyFont="1" applyBorder="1" applyAlignment="1">
      <alignment horizontal="justify" vertical="center" wrapText="1"/>
    </xf>
    <xf numFmtId="9" fontId="0" fillId="0" borderId="0" xfId="2" applyFont="1"/>
    <xf numFmtId="44" fontId="0" fillId="0" borderId="0" xfId="0" applyNumberFormat="1"/>
    <xf numFmtId="164" fontId="0" fillId="0" borderId="0" xfId="0" applyNumberFormat="1" applyAlignment="1">
      <alignment wrapText="1"/>
    </xf>
    <xf numFmtId="44" fontId="0" fillId="0" borderId="0" xfId="1" applyFont="1" applyBorder="1"/>
    <xf numFmtId="0" fontId="0" fillId="11" borderId="11" xfId="0" applyFill="1" applyBorder="1" applyAlignment="1">
      <alignment horizontal="justify" vertical="center" wrapText="1"/>
    </xf>
    <xf numFmtId="8" fontId="12" fillId="11" borderId="11" xfId="0" applyNumberFormat="1" applyFont="1" applyFill="1" applyBorder="1" applyAlignment="1">
      <alignment horizontal="justify" vertical="center" wrapText="1"/>
    </xf>
    <xf numFmtId="0" fontId="0" fillId="12" borderId="11" xfId="0" applyFill="1" applyBorder="1"/>
    <xf numFmtId="44" fontId="0" fillId="12" borderId="11" xfId="1" applyFont="1" applyFill="1" applyBorder="1"/>
    <xf numFmtId="9" fontId="0" fillId="0" borderId="11" xfId="2" applyFont="1" applyBorder="1"/>
    <xf numFmtId="44" fontId="11" fillId="0" borderId="11" xfId="1" applyFont="1" applyBorder="1"/>
    <xf numFmtId="0" fontId="0" fillId="10" borderId="11" xfId="0" applyFill="1" applyBorder="1"/>
    <xf numFmtId="44" fontId="0" fillId="10" borderId="11" xfId="1" applyFont="1" applyFill="1" applyBorder="1"/>
    <xf numFmtId="0" fontId="0" fillId="7" borderId="11" xfId="0" applyFill="1" applyBorder="1"/>
    <xf numFmtId="44" fontId="0" fillId="7" borderId="11" xfId="0" applyNumberFormat="1" applyFill="1" applyBorder="1"/>
    <xf numFmtId="0" fontId="2" fillId="4" borderId="7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0" fontId="2" fillId="13" borderId="0" xfId="0" applyFont="1" applyFill="1" applyAlignment="1">
      <alignment wrapText="1"/>
    </xf>
    <xf numFmtId="0" fontId="0" fillId="13" borderId="0" xfId="0" applyFill="1"/>
    <xf numFmtId="0" fontId="0" fillId="12" borderId="11" xfId="0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COGETIC_Dimensionamento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COGETIC_Dimensionamento.xlsm?F57E47B6" TargetMode="External"/><Relationship Id="rId1" Type="http://schemas.openxmlformats.org/officeDocument/2006/relationships/externalLinkPath" Target="file:///\\F57E47B6\COGETIC_Dimensionamento.xlsm" TargetMode="External"/></Relationships>
</file>

<file path=xl/externalLinks/_rels/externalLink10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IGM_Dimensionamento_CodificaGovBr_alocacao_prof_v2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IGM_Dimensionamento_CodificaGovBr_alocacao_prof_v2.xlsm?F57E47B6" TargetMode="External"/><Relationship Id="rId1" Type="http://schemas.openxmlformats.org/officeDocument/2006/relationships/externalLinkPath" Target="file:///\\F57E47B6\IGM_Dimensionamento_CodificaGovBr_alocacao_prof_v2.xlsm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MANAUS_Dimensionamento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MANAUS_Dimensionamento.xlsm?F57E47B6" TargetMode="External"/><Relationship Id="rId1" Type="http://schemas.openxmlformats.org/officeDocument/2006/relationships/externalLinkPath" Target="file:///\\F57E47B6\MANAUS_Dimensionamento.xlsm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FARMANGUINHOS_Dimensionamento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FARMANGUINHOS_Dimensionamento.xlsm?F57E47B6" TargetMode="External"/><Relationship Id="rId1" Type="http://schemas.openxmlformats.org/officeDocument/2006/relationships/externalLinkPath" Target="file:///\\F57E47B6\FARMANGUINHOS_Dimensionamento.xlsm" TargetMode="External"/></Relationships>
</file>

<file path=xl/externalLinks/_rels/externalLink1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INI_Dimensionamento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INI_Dimensionamento.xlsm?F57E47B6" TargetMode="External"/><Relationship Id="rId1" Type="http://schemas.openxmlformats.org/officeDocument/2006/relationships/externalLinkPath" Target="file:///\\F57E47B6\INI_Dimensionamento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ICTB_Dimensionamento.xlsm?F57E47B6" TargetMode="External"/><Relationship Id="rId1" Type="http://schemas.openxmlformats.org/officeDocument/2006/relationships/externalLinkPath" Target="file:///\\F57E47B6\ICTB_Dimensionamento.xlsm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dc8afdbb04c6a30/Documentos/AnexosTR%20(22.02.2024)/13%20-%20Anexo%20XIII%20-%20Dimencionamento%20e%20tecnologias/BIOMANGUINHOS_Dimensionamento.xlsm" TargetMode="External"/><Relationship Id="rId1" Type="http://schemas.openxmlformats.org/officeDocument/2006/relationships/externalLinkPath" Target="https://d.docs.live.net/edc8afdbb04c6a30/Documentos/AnexosTR%20(22.02.2024)/13%20-%20Anexo%20XIII%20-%20Dimencionamento%20e%20tecnologias/BIOMANGUINHOS_Dimensionamento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dc8afdbb04c6a30/Documentos/AnexosTR%20(22.02.2024)/13%20-%20Anexo%20XIII%20-%20Dimencionamento%20e%20tecnologias/IOC_Dimension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ENSP_Dimensionamento_CodificaGovBr_alocacao_prof_v2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Resposta%20SGD%20(25.01.2024)/Anexos%20TR/Dimencionamento%20e%20tecnologias/ENSP_Dimensionamento_CodificaGovBr_alocacao_prof_v2.xlsm?4C2FF6B4" TargetMode="External"/><Relationship Id="rId1" Type="http://schemas.openxmlformats.org/officeDocument/2006/relationships/externalLinkPath" Target="file:///\\4C2FF6B4\ENSP_Dimensionamento_CodificaGovBr_alocacao_prof_v2.xlsm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CDTS_Dimensionamento_CodificaGovBr_alocacao_prof_v2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Resposta%20SGD%20(25.01.2024)/Anexos%20TR/Dimencionamento%20e%20tecnologias/CDTS_Dimensionamento_CodificaGovBr_alocacao_prof_v2.xlsm?4C2FF6B4" TargetMode="External"/><Relationship Id="rId1" Type="http://schemas.openxmlformats.org/officeDocument/2006/relationships/externalLinkPath" Target="file:///\\4C2FF6B4\CDTS_Dimensionamento_CodificaGovBr_alocacao_prof_v2.xlsm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CEARA_Dimensionamento_CodificaGovBr_alocacao_prof_v2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Resposta%20SGD%20(25.01.2024)/Anexos%20TR/Dimencionamento%20e%20tecnologias/CEARA_Dimensionamento_CodificaGovBr_alocacao_prof_v2.xlsm?4C2FF6B4" TargetMode="External"/><Relationship Id="rId1" Type="http://schemas.openxmlformats.org/officeDocument/2006/relationships/externalLinkPath" Target="file:///\\4C2FF6B4\CEARA_Dimensionamento_CodificaGovBr_alocacao_prof_v2.xlsm" TargetMode="External"/></Relationships>
</file>

<file path=xl/externalLinks/_rels/externalLink5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IAM_Dimensionamento_CodificaGovBr_alocacao_prof_v2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Resposta%20SGD%20(25.01.2024)/Anexos%20TR/Dimencionamento%20e%20tecnologias/IAM_Dimensionamento_CodificaGovBr_alocacao_prof_v2.xlsm?4C2FF6B4" TargetMode="External"/><Relationship Id="rId1" Type="http://schemas.openxmlformats.org/officeDocument/2006/relationships/externalLinkPath" Target="file:///\\4C2FF6B4\IAM_Dimensionamento_CodificaGovBr_alocacao_prof_v2.xlsm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ICICT_Dimensionamento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ICICT_Dimensionamento.xlsm?F57E47B6" TargetMode="External"/><Relationship Id="rId1" Type="http://schemas.openxmlformats.org/officeDocument/2006/relationships/externalLinkPath" Target="file:///\\F57E47B6\ICICT_Dimensionamento.xlsm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ICTB_Dimensionamento_CodificaGovBr_alocacao_prof_v2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ICTB_Dimensionamento_CodificaGovBr_alocacao_prof_v2.xlsm?F57E47B6" TargetMode="External"/><Relationship Id="rId1" Type="http://schemas.openxmlformats.org/officeDocument/2006/relationships/externalLinkPath" Target="file:///\\F57E47B6\ICTB_Dimensionamento_CodificaGovBr_alocacao_prof_v2.xlsm" TargetMode="External"/></Relationships>
</file>

<file path=xl/externalLinks/_rels/externalLink8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IFF_Dimensionamento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IFF_Dimensionamento.xlsm?F57E47B6" TargetMode="External"/><Relationship Id="rId1" Type="http://schemas.openxmlformats.org/officeDocument/2006/relationships/externalLinkPath" Target="file:///\\F57E47B6\IFF_Dimensionamento.xlsm" TargetMode="External"/></Relationships>
</file>

<file path=xl/externalLinks/_rels/externalLink9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ocruzbr-my.sharepoint.com/personal/jean_volponi_fiocruz_br/Documents/Inova&#231;&#227;o/Contrata&#231;&#245;es/Contrato%20Servi&#231;os/NOVOS%20PROCESSOS%20(14.133)/Desenvolvimento%20de%20sistemas/Portaria%20750.2023/Resposta%20SGD%20(25.01.2024)/Anexos%20TR/Dimencionamento%20e%20tecnologias/INCQS_Dimensionamento.xlsm" TargetMode="External"/><Relationship Id="rId2" Type="http://schemas.microsoft.com/office/2019/04/relationships/externalLinkLongPath" Target="https://fiocruzbr-my.sharepoint.com/personal/gustavo_antunes_fiocruz_br/Documents/Qualidade%20LIFE%20-%20FIOCRUZ/APOIO%20DEFINITIVO%202023-2024/SISTEMAS/Resposta%20SGD%20(26.01.2024)/Anexos%20TR%20(26.01.2024)/13%20-%20Anexo%20XIII%20-%20Dimencionamento%20e%20tecnologias/INCQS_Dimensionamento.xlsm?F57E47B6" TargetMode="External"/><Relationship Id="rId1" Type="http://schemas.openxmlformats.org/officeDocument/2006/relationships/externalLinkPath" Target="file:///\\F57E47B6\INCQS_Dimensionamen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TIME 01 - SISTEMA SIE"/>
      <sheetName val="TIME 01 - SISTEMA TRIBUTAR"/>
      <sheetName val="TIME 01 - SISTEMA SIAI"/>
      <sheetName val="TIME 02 - SISTEMA MOBILIDADE"/>
      <sheetName val="TIME 02 - SISTEMA FIOCOL"/>
      <sheetName val="TIME 03 - SISTEMA SIEF SS"/>
      <sheetName val="TIME 03 - SISTEMA SIEF LATO"/>
      <sheetName val="TIME 04 - SISTEMA ACESSO"/>
      <sheetName val="TIME 04 - SISTEMA MUSEU"/>
      <sheetName val="JUST SUST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5</v>
          </cell>
        </row>
        <row r="10">
          <cell r="D10" t="str">
            <v>DESENV-02 </v>
          </cell>
          <cell r="I10">
            <v>11</v>
          </cell>
        </row>
        <row r="11">
          <cell r="D11" t="str">
            <v>DESENV-03 </v>
          </cell>
          <cell r="I11">
            <v>6</v>
          </cell>
        </row>
        <row r="12">
          <cell r="D12" t="str">
            <v>LDESENV </v>
          </cell>
          <cell r="I12">
            <v>1</v>
          </cell>
        </row>
        <row r="13">
          <cell r="D13" t="str">
            <v>ANR-01 </v>
          </cell>
          <cell r="I13">
            <v>1</v>
          </cell>
        </row>
        <row r="14">
          <cell r="D14" t="str">
            <v>ANR-02 </v>
          </cell>
          <cell r="I14">
            <v>2</v>
          </cell>
        </row>
        <row r="15">
          <cell r="D15" t="str">
            <v>ANR-03 </v>
          </cell>
          <cell r="I15">
            <v>4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2</v>
          </cell>
        </row>
        <row r="22">
          <cell r="D22" t="str">
            <v>GEPRO </v>
          </cell>
          <cell r="I22">
            <v>1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5">
          <cell r="D25" t="str">
            <v>ATQ-01 </v>
          </cell>
          <cell r="I25">
            <v>4</v>
          </cell>
        </row>
        <row r="26">
          <cell r="D26" t="str">
            <v>ATQ-02 </v>
          </cell>
          <cell r="I26">
            <v>0</v>
          </cell>
        </row>
        <row r="27">
          <cell r="D27" t="str">
            <v>ATQ-03 </v>
          </cell>
          <cell r="I27">
            <v>0</v>
          </cell>
        </row>
        <row r="32">
          <cell r="D32" t="str">
            <v>ATQ-01 </v>
          </cell>
          <cell r="I32">
            <v>3</v>
          </cell>
        </row>
        <row r="33">
          <cell r="D33" t="str">
            <v>ATQ-02 </v>
          </cell>
          <cell r="I33">
            <v>0</v>
          </cell>
        </row>
        <row r="34">
          <cell r="D34" t="str">
            <v>ATQ-03 </v>
          </cell>
          <cell r="I3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TIME IGM - BIOTERIO"/>
      <sheetName val="TIME IGM - HISTOTECNOLOGIA"/>
      <sheetName val="JUST SUST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2</v>
          </cell>
        </row>
        <row r="10">
          <cell r="D10" t="str">
            <v>DESENV-02 </v>
          </cell>
          <cell r="I10">
            <v>1</v>
          </cell>
        </row>
        <row r="11">
          <cell r="D11" t="str">
            <v>DESENV-03 </v>
          </cell>
          <cell r="I11">
            <v>0</v>
          </cell>
        </row>
        <row r="12">
          <cell r="D12" t="str">
            <v>LDESENV </v>
          </cell>
          <cell r="I12">
            <v>1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8">
          <cell r="D28" t="str">
            <v>ATQ-01 </v>
          </cell>
          <cell r="I28">
            <v>0</v>
          </cell>
        </row>
        <row r="29">
          <cell r="D29" t="str">
            <v>ATQ-02 </v>
          </cell>
          <cell r="I29">
            <v>0</v>
          </cell>
        </row>
        <row r="30">
          <cell r="D30" t="str">
            <v>ATQ-03 </v>
          </cell>
          <cell r="I30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JUST SUST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1</v>
          </cell>
        </row>
        <row r="10">
          <cell r="D10" t="str">
            <v>DESENV-02 </v>
          </cell>
          <cell r="I10">
            <v>0</v>
          </cell>
        </row>
        <row r="11">
          <cell r="D11" t="str">
            <v>DESENV-03 </v>
          </cell>
          <cell r="I11">
            <v>0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8">
          <cell r="D28" t="str">
            <v>ATQ-01 </v>
          </cell>
          <cell r="I28">
            <v>0</v>
          </cell>
        </row>
        <row r="29">
          <cell r="D29" t="str">
            <v>ATQ-02 </v>
          </cell>
          <cell r="I29">
            <v>0</v>
          </cell>
        </row>
        <row r="30">
          <cell r="D30" t="str">
            <v>ATQ-03 </v>
          </cell>
          <cell r="I30">
            <v>0</v>
          </cell>
        </row>
      </sheetData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TIME FAR - PROJETOS"/>
      <sheetName val="JUST SUST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1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2</v>
          </cell>
        </row>
        <row r="10">
          <cell r="D10" t="str">
            <v>DESENV-02 </v>
          </cell>
          <cell r="I10">
            <v>1</v>
          </cell>
        </row>
        <row r="11">
          <cell r="D11" t="str">
            <v>DESENV-03 </v>
          </cell>
          <cell r="I11">
            <v>1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1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8">
          <cell r="D28" t="str">
            <v>ATQ-01 </v>
          </cell>
          <cell r="I28">
            <v>0</v>
          </cell>
        </row>
        <row r="29">
          <cell r="D29" t="str">
            <v>ATQ-02 </v>
          </cell>
          <cell r="I29">
            <v>0</v>
          </cell>
        </row>
        <row r="30">
          <cell r="D30" t="str">
            <v>ATQ-03 </v>
          </cell>
          <cell r="I30">
            <v>0</v>
          </cell>
        </row>
      </sheetData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TIME INI - PROJETOS"/>
      <sheetName val="JUST SUST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2</v>
          </cell>
        </row>
        <row r="10">
          <cell r="D10" t="str">
            <v>DESENV-02 </v>
          </cell>
          <cell r="I10">
            <v>2</v>
          </cell>
        </row>
        <row r="11">
          <cell r="D11" t="str">
            <v>DESENV-03 </v>
          </cell>
          <cell r="I11">
            <v>1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3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5">
          <cell r="D25" t="str">
            <v>ATQ-01 </v>
          </cell>
          <cell r="I25">
            <v>0</v>
          </cell>
        </row>
        <row r="26">
          <cell r="D26" t="str">
            <v>ATQ-02 </v>
          </cell>
          <cell r="I26">
            <v>3</v>
          </cell>
        </row>
        <row r="27">
          <cell r="D27" t="str">
            <v>ATQ-03 </v>
          </cell>
          <cell r="I27">
            <v>0</v>
          </cell>
        </row>
        <row r="32">
          <cell r="D32" t="str">
            <v>ATQ-01 </v>
          </cell>
          <cell r="I32">
            <v>0</v>
          </cell>
        </row>
        <row r="33">
          <cell r="D33" t="str">
            <v>ATQ-02 </v>
          </cell>
          <cell r="I33">
            <v>0</v>
          </cell>
        </row>
        <row r="34">
          <cell r="D34" t="str">
            <v>ATQ-03 </v>
          </cell>
          <cell r="I34">
            <v>0</v>
          </cell>
        </row>
      </sheetData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 - Resultado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TIME BIO - LMS"/>
      <sheetName val="TIME BIO - BIOFORM"/>
      <sheetName val="TIME BIO - BIOLAUDOS"/>
      <sheetName val="TIME BIO - LIMS"/>
      <sheetName val="TIME BIO - SERVIÇO DE EMAILS"/>
      <sheetName val="TIME BIO - SAP"/>
      <sheetName val="TIME BIO - ROBO DE ATENDIMENTO"/>
      <sheetName val="JUST SUSTENTAÇÃO"/>
      <sheetName val="Planilh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2</v>
          </cell>
        </row>
        <row r="9">
          <cell r="D9" t="str">
            <v>DESENV-01 </v>
          </cell>
          <cell r="I9">
            <v>1</v>
          </cell>
        </row>
        <row r="10">
          <cell r="D10" t="str">
            <v>DESENV-02 </v>
          </cell>
          <cell r="I10">
            <v>6</v>
          </cell>
        </row>
        <row r="11">
          <cell r="D11" t="str">
            <v>DESENV-03 </v>
          </cell>
          <cell r="I11">
            <v>6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12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1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1</v>
          </cell>
        </row>
        <row r="21">
          <cell r="D21" t="str">
            <v>SCRUM </v>
          </cell>
          <cell r="I21">
            <v>2</v>
          </cell>
        </row>
        <row r="22">
          <cell r="D22" t="str">
            <v>GEPRO </v>
          </cell>
          <cell r="I22">
            <v>1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5">
          <cell r="D25" t="str">
            <v>ATQ-01 </v>
          </cell>
          <cell r="I25">
            <v>0</v>
          </cell>
        </row>
        <row r="26">
          <cell r="D26" t="str">
            <v>ATQ-02 </v>
          </cell>
          <cell r="I26">
            <v>0</v>
          </cell>
        </row>
        <row r="27">
          <cell r="D27" t="str">
            <v>ATQ-03 </v>
          </cell>
          <cell r="I27">
            <v>3</v>
          </cell>
        </row>
        <row r="30">
          <cell r="D30" t="str">
            <v>DESCRIÇÃO DO ITEM</v>
          </cell>
          <cell r="I30" t="str">
            <v>QUANTIDADE ESTIMADA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TIME IOC - PROJETOS"/>
      <sheetName val="_Configuracoes"/>
      <sheetName val="JUST SUST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1</v>
          </cell>
        </row>
        <row r="10">
          <cell r="D10" t="str">
            <v>DESENV-02 </v>
          </cell>
          <cell r="I10">
            <v>4</v>
          </cell>
        </row>
        <row r="11">
          <cell r="D11" t="str">
            <v>DESENV-03 </v>
          </cell>
          <cell r="I11">
            <v>0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1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1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5">
          <cell r="D25" t="str">
            <v>ATQ-01 </v>
          </cell>
          <cell r="I25">
            <v>1</v>
          </cell>
        </row>
        <row r="26">
          <cell r="D26" t="str">
            <v>ATQ-02 </v>
          </cell>
          <cell r="I26">
            <v>0</v>
          </cell>
        </row>
        <row r="27">
          <cell r="D27" t="str">
            <v>ATQ-03 </v>
          </cell>
          <cell r="I27">
            <v>0</v>
          </cell>
        </row>
        <row r="28">
          <cell r="D28"/>
          <cell r="I28"/>
        </row>
        <row r="29">
          <cell r="D29"/>
          <cell r="I29"/>
        </row>
        <row r="30">
          <cell r="D30" t="str">
            <v>DESCRIÇÃO DO ITEM</v>
          </cell>
          <cell r="I30" t="str">
            <v>QUANTIDADE ESTIMADA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Moodle AVA"/>
      <sheetName val="SAOL"/>
      <sheetName val="SIMIOS"/>
      <sheetName val="Site da Comunicação e Informaçã"/>
      <sheetName val="Site da Escola de Governo"/>
      <sheetName val="Site da EAD"/>
      <sheetName val="Site da Pesquisa e Inovação"/>
      <sheetName val="Site do Ensino"/>
      <sheetName val="PORTAL ENSP"/>
      <sheetName val="SIGENSP"/>
      <sheetName val="SGTI"/>
      <sheetName val="SAL"/>
      <sheetName val="SEC"/>
      <sheetName val="SRA"/>
      <sheetName val="JUST SUST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3</v>
          </cell>
        </row>
        <row r="10">
          <cell r="D10" t="str">
            <v>DESENV-02 </v>
          </cell>
          <cell r="I10">
            <v>1</v>
          </cell>
        </row>
        <row r="11">
          <cell r="D11" t="str">
            <v>DESENV-03 </v>
          </cell>
          <cell r="I11">
            <v>6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6">
          <cell r="D26" t="str">
            <v>DESCRIÇÃO DO ITEM</v>
          </cell>
          <cell r="I26" t="str">
            <v>QUANTIDADE ESTIMADA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TIME CDTS - SISBIO"/>
      <sheetName val="TIME CDTS -GESTEC"/>
      <sheetName val="JUST SUST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0</v>
          </cell>
        </row>
        <row r="10">
          <cell r="D10" t="str">
            <v>DESENV-02 </v>
          </cell>
          <cell r="I10">
            <v>1</v>
          </cell>
        </row>
        <row r="11">
          <cell r="D11" t="str">
            <v>DESENV-03 </v>
          </cell>
          <cell r="I11">
            <v>3</v>
          </cell>
        </row>
        <row r="12">
          <cell r="D12" t="str">
            <v>LDESENV </v>
          </cell>
          <cell r="I12">
            <v>1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1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1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9">
          <cell r="D29" t="str">
            <v>ATQ-01 </v>
          </cell>
          <cell r="I29">
            <v>0</v>
          </cell>
        </row>
        <row r="30">
          <cell r="D30" t="str">
            <v>ATQ-02 </v>
          </cell>
          <cell r="I30">
            <v>0</v>
          </cell>
        </row>
        <row r="31">
          <cell r="D31" t="str">
            <v>ATQ-03 </v>
          </cell>
          <cell r="I31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JUST SUST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1</v>
          </cell>
        </row>
        <row r="10">
          <cell r="D10" t="str">
            <v>DESENV-02 </v>
          </cell>
          <cell r="I10">
            <v>0</v>
          </cell>
        </row>
        <row r="11">
          <cell r="D11" t="str">
            <v>DESENV-03 </v>
          </cell>
          <cell r="I11">
            <v>0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8">
          <cell r="D28" t="str">
            <v>ATQ-01 </v>
          </cell>
          <cell r="I28">
            <v>0</v>
          </cell>
        </row>
        <row r="29">
          <cell r="D29" t="str">
            <v>ATQ-02 </v>
          </cell>
          <cell r="I29">
            <v>0</v>
          </cell>
        </row>
        <row r="30">
          <cell r="D30" t="str">
            <v>ATQ-03 </v>
          </cell>
          <cell r="I30">
            <v>0</v>
          </cell>
        </row>
      </sheetData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JUST SUST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4</v>
          </cell>
        </row>
        <row r="10">
          <cell r="D10" t="str">
            <v>DESENV-02 </v>
          </cell>
          <cell r="I10">
            <v>0</v>
          </cell>
        </row>
        <row r="11">
          <cell r="D11" t="str">
            <v>DESENV-03 </v>
          </cell>
          <cell r="I11">
            <v>0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8">
          <cell r="D28" t="str">
            <v>ATQ-01 </v>
          </cell>
          <cell r="I28">
            <v>0</v>
          </cell>
        </row>
        <row r="29">
          <cell r="D29" t="str">
            <v>ATQ-02 </v>
          </cell>
          <cell r="I29">
            <v>0</v>
          </cell>
        </row>
        <row r="30">
          <cell r="D30" t="str">
            <v>ATQ-03 </v>
          </cell>
          <cell r="I30">
            <v>0</v>
          </cell>
        </row>
      </sheetData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JUST SUST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0</v>
          </cell>
        </row>
        <row r="10">
          <cell r="D10" t="str">
            <v>DESENV-02 </v>
          </cell>
          <cell r="I10">
            <v>3</v>
          </cell>
        </row>
        <row r="11">
          <cell r="D11" t="str">
            <v>DESENV-03 </v>
          </cell>
          <cell r="I11">
            <v>1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  <row r="28">
          <cell r="D28" t="str">
            <v>ATQ-01 </v>
          </cell>
          <cell r="I28">
            <v>0</v>
          </cell>
        </row>
        <row r="29">
          <cell r="D29" t="str">
            <v>ATQ-02 </v>
          </cell>
          <cell r="I29">
            <v>0</v>
          </cell>
        </row>
        <row r="30">
          <cell r="D30" t="str">
            <v>ATQ-03 </v>
          </cell>
          <cell r="I30">
            <v>0</v>
          </cell>
        </row>
      </sheetData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Planilha1"/>
      <sheetName val="3 - Demanda"/>
      <sheetName val="4 - Time"/>
      <sheetName val="5 - Estim Perfis"/>
      <sheetName val="6 - Resultado"/>
      <sheetName val="_Configuracoes"/>
      <sheetName val="JUST SUST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1</v>
          </cell>
        </row>
        <row r="10">
          <cell r="D10" t="str">
            <v>DESENV-02 </v>
          </cell>
          <cell r="I10">
            <v>0</v>
          </cell>
        </row>
        <row r="11">
          <cell r="D11" t="str">
            <v>DESENV-03 </v>
          </cell>
          <cell r="I11">
            <v>0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1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3 - Demanda"/>
      <sheetName val="Planilha1"/>
      <sheetName val="4 - Time"/>
      <sheetName val="5 - Estim Perfis"/>
      <sheetName val="6 - Resultado"/>
      <sheetName val="_Configuracoes"/>
      <sheetName val="TIME IFF - BLH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1</v>
          </cell>
        </row>
        <row r="10">
          <cell r="D10" t="str">
            <v>DESENV-02 </v>
          </cell>
          <cell r="I10">
            <v>0</v>
          </cell>
        </row>
        <row r="11">
          <cell r="D11" t="str">
            <v>DESENV-03 </v>
          </cell>
          <cell r="I11">
            <v>0</v>
          </cell>
        </row>
        <row r="12">
          <cell r="D12" t="str">
            <v>LDESENV </v>
          </cell>
          <cell r="I12">
            <v>0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0</v>
          </cell>
        </row>
        <row r="24">
          <cell r="D24" t="str">
            <v>AUX/UI-02</v>
          </cell>
          <cell r="I24">
            <v>0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ientações"/>
      <sheetName val="CheckList"/>
      <sheetName val="2 - PCA"/>
      <sheetName val="3 - Demanda"/>
      <sheetName val="Planilha1"/>
      <sheetName val="4 - Time"/>
      <sheetName val="5 - Estim Perfis"/>
      <sheetName val="6 - Resultado"/>
      <sheetName val="_Configuracoes"/>
      <sheetName val="TIME INCQS - HARPYA"/>
      <sheetName val="TIME INCQS - SGT"/>
      <sheetName val="JUST SUSTENTAÇÃO"/>
      <sheetName val="Planilh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ARQSOF-01</v>
          </cell>
          <cell r="I7">
            <v>0</v>
          </cell>
        </row>
        <row r="8">
          <cell r="D8" t="str">
            <v>ARQSOF-02 </v>
          </cell>
          <cell r="I8">
            <v>0</v>
          </cell>
        </row>
        <row r="9">
          <cell r="D9" t="str">
            <v>DESENV-01 </v>
          </cell>
          <cell r="I9">
            <v>0</v>
          </cell>
        </row>
        <row r="10">
          <cell r="D10" t="str">
            <v>DESENV-02 </v>
          </cell>
          <cell r="I10">
            <v>4</v>
          </cell>
        </row>
        <row r="11">
          <cell r="D11" t="str">
            <v>DESENV-03 </v>
          </cell>
          <cell r="I11">
            <v>2</v>
          </cell>
        </row>
        <row r="12">
          <cell r="D12" t="str">
            <v>LDESENV </v>
          </cell>
          <cell r="I12">
            <v>1</v>
          </cell>
        </row>
        <row r="13">
          <cell r="D13" t="str">
            <v>ANR-01 </v>
          </cell>
          <cell r="I13">
            <v>0</v>
          </cell>
        </row>
        <row r="14">
          <cell r="D14" t="str">
            <v>ANR-02 </v>
          </cell>
          <cell r="I14">
            <v>0</v>
          </cell>
        </row>
        <row r="15">
          <cell r="D15" t="str">
            <v>ANR-03 </v>
          </cell>
          <cell r="I15">
            <v>0</v>
          </cell>
        </row>
        <row r="16">
          <cell r="D16" t="str">
            <v>ABI-01 </v>
          </cell>
          <cell r="I16">
            <v>0</v>
          </cell>
        </row>
        <row r="17">
          <cell r="D17" t="str">
            <v>ABI-02 </v>
          </cell>
          <cell r="I17">
            <v>0</v>
          </cell>
        </row>
        <row r="18">
          <cell r="D18" t="str">
            <v>ABI-03 </v>
          </cell>
          <cell r="I18">
            <v>0</v>
          </cell>
        </row>
        <row r="19">
          <cell r="D19" t="str">
            <v>ADADOS-02 </v>
          </cell>
          <cell r="I19">
            <v>0</v>
          </cell>
        </row>
        <row r="20">
          <cell r="D20" t="str">
            <v>ADADOS-03 </v>
          </cell>
          <cell r="I20">
            <v>0</v>
          </cell>
        </row>
        <row r="21">
          <cell r="D21" t="str">
            <v>SCRUM </v>
          </cell>
          <cell r="I21">
            <v>0</v>
          </cell>
        </row>
        <row r="22">
          <cell r="D22" t="str">
            <v>GEPRO </v>
          </cell>
          <cell r="I22">
            <v>0</v>
          </cell>
        </row>
        <row r="23">
          <cell r="D23" t="str">
            <v>AUX/UI-01</v>
          </cell>
          <cell r="I23">
            <v>2</v>
          </cell>
        </row>
        <row r="24">
          <cell r="D24" t="str">
            <v>AUX/UI-02</v>
          </cell>
          <cell r="I24">
            <v>0</v>
          </cell>
        </row>
        <row r="29">
          <cell r="D29" t="str">
            <v>ATQ-01 </v>
          </cell>
          <cell r="I29">
            <v>0</v>
          </cell>
        </row>
        <row r="30">
          <cell r="D30" t="str">
            <v>ATQ-02 </v>
          </cell>
          <cell r="I30">
            <v>0</v>
          </cell>
        </row>
        <row r="31">
          <cell r="D31" t="str">
            <v>ATQ-03 </v>
          </cell>
          <cell r="I31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E250-78F7-4FE8-B1CE-97BE777F0423}">
  <dimension ref="A1:I19"/>
  <sheetViews>
    <sheetView zoomScaleNormal="100" workbookViewId="0">
      <selection activeCell="I20" sqref="I20"/>
    </sheetView>
  </sheetViews>
  <sheetFormatPr defaultRowHeight="14.4" x14ac:dyDescent="0.3"/>
  <cols>
    <col min="2" max="3" width="17.33203125" style="28" bestFit="1" customWidth="1"/>
    <col min="4" max="4" width="10.44140625" bestFit="1" customWidth="1"/>
    <col min="5" max="6" width="14" customWidth="1"/>
    <col min="7" max="7" width="28.33203125" bestFit="1" customWidth="1"/>
    <col min="8" max="8" width="15.44140625" bestFit="1" customWidth="1"/>
  </cols>
  <sheetData>
    <row r="1" spans="1:8" x14ac:dyDescent="0.3">
      <c r="A1" s="63" t="s">
        <v>107</v>
      </c>
      <c r="B1" s="63"/>
      <c r="C1" s="63"/>
      <c r="D1" s="63"/>
      <c r="E1" s="63"/>
      <c r="F1" s="63"/>
      <c r="G1" s="63"/>
    </row>
    <row r="2" spans="1:8" x14ac:dyDescent="0.3">
      <c r="A2" s="50"/>
      <c r="B2" s="51" t="s">
        <v>108</v>
      </c>
      <c r="C2" s="51" t="s">
        <v>109</v>
      </c>
      <c r="D2" s="50" t="s">
        <v>110</v>
      </c>
      <c r="E2" s="50" t="s">
        <v>111</v>
      </c>
      <c r="F2" s="50" t="s">
        <v>112</v>
      </c>
      <c r="G2" s="50" t="s">
        <v>113</v>
      </c>
      <c r="H2" s="50" t="s">
        <v>136</v>
      </c>
    </row>
    <row r="3" spans="1:8" x14ac:dyDescent="0.3">
      <c r="A3" s="25" t="s">
        <v>114</v>
      </c>
      <c r="B3" s="27">
        <v>0</v>
      </c>
      <c r="C3" s="27">
        <f>MANAUS!H25</f>
        <v>175053.49439999997</v>
      </c>
      <c r="D3" s="52" t="e">
        <f>(C3-B3)/B3</f>
        <v>#DIV/0!</v>
      </c>
      <c r="E3" s="25">
        <v>0</v>
      </c>
      <c r="F3" s="25">
        <v>1</v>
      </c>
      <c r="G3" s="25" t="s">
        <v>115</v>
      </c>
      <c r="H3" s="25">
        <v>0</v>
      </c>
    </row>
    <row r="4" spans="1:8" x14ac:dyDescent="0.3">
      <c r="A4" s="25" t="s">
        <v>116</v>
      </c>
      <c r="B4" s="27">
        <v>322066.88</v>
      </c>
      <c r="C4" s="27">
        <f>ICICT!H25</f>
        <v>851470.88879999996</v>
      </c>
      <c r="D4" s="52">
        <f>(C4-B4)/B4</f>
        <v>1.6437704143934326</v>
      </c>
      <c r="E4" s="25">
        <v>1</v>
      </c>
      <c r="F4" s="25">
        <v>4</v>
      </c>
      <c r="G4" s="25" t="s">
        <v>117</v>
      </c>
      <c r="H4" s="25">
        <v>0</v>
      </c>
    </row>
    <row r="5" spans="1:8" x14ac:dyDescent="0.3">
      <c r="A5" s="25" t="s">
        <v>103</v>
      </c>
      <c r="B5" s="27">
        <v>6153914.3200000003</v>
      </c>
      <c r="C5" s="27">
        <f>BIO!H25</f>
        <v>9844161.9431999996</v>
      </c>
      <c r="D5" s="52">
        <f t="shared" ref="D5:D18" si="0">(C5-B5)/B5</f>
        <v>0.59965859635172802</v>
      </c>
      <c r="E5" s="25">
        <v>22</v>
      </c>
      <c r="F5" s="25">
        <v>35</v>
      </c>
      <c r="G5" s="25" t="s">
        <v>133</v>
      </c>
      <c r="H5" s="25">
        <v>33</v>
      </c>
    </row>
    <row r="6" spans="1:8" x14ac:dyDescent="0.3">
      <c r="A6" s="25" t="s">
        <v>118</v>
      </c>
      <c r="B6" s="27">
        <v>868798.87</v>
      </c>
      <c r="C6" s="27">
        <f>IOC!H25</f>
        <v>1772045.1984000001</v>
      </c>
      <c r="D6" s="52">
        <f t="shared" si="0"/>
        <v>1.0396495202623826</v>
      </c>
      <c r="E6" s="25">
        <v>4</v>
      </c>
      <c r="F6" s="25">
        <v>8</v>
      </c>
      <c r="G6" s="25" t="s">
        <v>119</v>
      </c>
      <c r="H6" s="25">
        <v>18</v>
      </c>
    </row>
    <row r="7" spans="1:8" x14ac:dyDescent="0.3">
      <c r="A7" s="25" t="s">
        <v>120</v>
      </c>
      <c r="B7" s="27">
        <v>1466808.62</v>
      </c>
      <c r="C7" s="27">
        <f>INI!H25</f>
        <v>2328764.0496000005</v>
      </c>
      <c r="D7" s="52">
        <f t="shared" si="0"/>
        <v>0.58764000827865348</v>
      </c>
      <c r="E7" s="25">
        <v>8</v>
      </c>
      <c r="F7" s="25">
        <v>11</v>
      </c>
      <c r="G7" s="25" t="s">
        <v>117</v>
      </c>
      <c r="H7" s="25">
        <v>7</v>
      </c>
    </row>
    <row r="8" spans="1:8" x14ac:dyDescent="0.3">
      <c r="A8" s="25" t="s">
        <v>121</v>
      </c>
      <c r="B8" s="27">
        <v>2288327.3199999998</v>
      </c>
      <c r="C8" s="27">
        <f>ENSP!H25</f>
        <v>2731593.9528000001</v>
      </c>
      <c r="D8" s="52">
        <f t="shared" si="0"/>
        <v>0.1937077047176976</v>
      </c>
      <c r="E8" s="25">
        <v>10</v>
      </c>
      <c r="F8" s="25">
        <v>10</v>
      </c>
      <c r="G8" s="25" t="s">
        <v>122</v>
      </c>
      <c r="H8" s="25">
        <v>11</v>
      </c>
    </row>
    <row r="9" spans="1:8" x14ac:dyDescent="0.3">
      <c r="A9" s="25" t="s">
        <v>123</v>
      </c>
      <c r="B9" s="27">
        <v>834159.49</v>
      </c>
      <c r="C9" s="27">
        <f>IGM!H25</f>
        <v>968869.1351999999</v>
      </c>
      <c r="D9" s="52">
        <f t="shared" si="0"/>
        <v>0.1614914735310389</v>
      </c>
      <c r="E9" s="25">
        <v>4</v>
      </c>
      <c r="F9" s="25">
        <v>4</v>
      </c>
      <c r="G9" s="25" t="s">
        <v>122</v>
      </c>
      <c r="H9" s="25">
        <v>11</v>
      </c>
    </row>
    <row r="10" spans="1:8" x14ac:dyDescent="0.3">
      <c r="A10" s="25" t="s">
        <v>124</v>
      </c>
      <c r="B10" s="27">
        <v>7875410.5</v>
      </c>
      <c r="C10" s="27">
        <f>COGETIC!H30</f>
        <v>9121135.1952</v>
      </c>
      <c r="D10" s="52">
        <f t="shared" si="0"/>
        <v>0.1581790174874059</v>
      </c>
      <c r="E10" s="25">
        <v>33</v>
      </c>
      <c r="F10" s="25">
        <v>39</v>
      </c>
      <c r="G10" s="25" t="s">
        <v>138</v>
      </c>
      <c r="H10" s="25">
        <v>10</v>
      </c>
    </row>
    <row r="11" spans="1:8" x14ac:dyDescent="0.3">
      <c r="A11" s="25" t="s">
        <v>125</v>
      </c>
      <c r="B11" s="27">
        <v>1332671.8</v>
      </c>
      <c r="C11" s="27">
        <f>FAR!H25</f>
        <v>1535646.1103999999</v>
      </c>
      <c r="D11" s="52">
        <f t="shared" si="0"/>
        <v>0.15230629957053179</v>
      </c>
      <c r="E11" s="25">
        <v>6</v>
      </c>
      <c r="F11" s="25">
        <v>7</v>
      </c>
      <c r="G11" s="25"/>
      <c r="H11" s="25">
        <v>56</v>
      </c>
    </row>
    <row r="12" spans="1:8" x14ac:dyDescent="0.3">
      <c r="A12" s="25" t="s">
        <v>126</v>
      </c>
      <c r="B12" s="27">
        <v>2275322.75</v>
      </c>
      <c r="C12" s="27">
        <f>INCQS!H25</f>
        <v>2394902.0639999993</v>
      </c>
      <c r="D12" s="52">
        <f t="shared" si="0"/>
        <v>5.2554879961534823E-2</v>
      </c>
      <c r="E12" s="25">
        <v>9</v>
      </c>
      <c r="F12" s="25">
        <v>10</v>
      </c>
      <c r="G12" s="25"/>
      <c r="H12" s="25">
        <v>22</v>
      </c>
    </row>
    <row r="13" spans="1:8" x14ac:dyDescent="0.3">
      <c r="A13" s="25" t="s">
        <v>127</v>
      </c>
      <c r="B13" s="27">
        <v>154872.43</v>
      </c>
      <c r="C13" s="27">
        <f>CEARA!H25</f>
        <v>175053.49439999997</v>
      </c>
      <c r="D13" s="52">
        <f t="shared" si="0"/>
        <v>0.1303076628939055</v>
      </c>
      <c r="E13" s="25">
        <v>1</v>
      </c>
      <c r="F13" s="25">
        <v>1</v>
      </c>
      <c r="G13" s="25"/>
      <c r="H13" s="25">
        <v>0</v>
      </c>
    </row>
    <row r="14" spans="1:8" x14ac:dyDescent="0.3">
      <c r="A14" s="25" t="s">
        <v>128</v>
      </c>
      <c r="B14" s="53">
        <v>154872.43</v>
      </c>
      <c r="C14" s="27">
        <f>IFF!H25</f>
        <v>175053.49439999997</v>
      </c>
      <c r="D14" s="52">
        <f t="shared" si="0"/>
        <v>0.1303076628939055</v>
      </c>
      <c r="E14" s="25">
        <v>1</v>
      </c>
      <c r="F14" s="25">
        <v>1</v>
      </c>
      <c r="G14" s="25"/>
      <c r="H14" s="25">
        <v>0</v>
      </c>
    </row>
    <row r="15" spans="1:8" x14ac:dyDescent="0.3">
      <c r="A15" s="25" t="s">
        <v>129</v>
      </c>
      <c r="B15" s="27">
        <v>721401.62</v>
      </c>
      <c r="C15" s="27">
        <f>IAM!H25</f>
        <v>773731.51919999998</v>
      </c>
      <c r="D15" s="52">
        <f t="shared" si="0"/>
        <v>7.2539203890337786E-2</v>
      </c>
      <c r="E15" s="25">
        <v>4</v>
      </c>
      <c r="F15" s="25">
        <v>4</v>
      </c>
      <c r="G15" s="25"/>
      <c r="H15" s="25">
        <v>0</v>
      </c>
    </row>
    <row r="16" spans="1:8" x14ac:dyDescent="0.3">
      <c r="A16" s="25" t="s">
        <v>130</v>
      </c>
      <c r="B16" s="27">
        <v>2073438.13</v>
      </c>
      <c r="C16" s="27">
        <f>CDTS!H25</f>
        <v>2132205.1896000002</v>
      </c>
      <c r="D16" s="52">
        <f t="shared" si="0"/>
        <v>2.8342808376925273E-2</v>
      </c>
      <c r="E16" s="25">
        <v>7</v>
      </c>
      <c r="F16" s="25">
        <v>7</v>
      </c>
      <c r="G16" s="25"/>
      <c r="H16" s="25">
        <v>9.5</v>
      </c>
    </row>
    <row r="17" spans="1:9" x14ac:dyDescent="0.3">
      <c r="A17" s="25" t="s">
        <v>131</v>
      </c>
      <c r="B17" s="27">
        <v>332208.39359999995</v>
      </c>
      <c r="C17" s="27">
        <f>ICTB!H25</f>
        <v>332208.39359999995</v>
      </c>
      <c r="D17" s="52">
        <f t="shared" si="0"/>
        <v>0</v>
      </c>
      <c r="E17" s="25">
        <v>2</v>
      </c>
      <c r="F17" s="25">
        <v>2</v>
      </c>
      <c r="G17" s="25"/>
      <c r="H17" s="25">
        <v>0</v>
      </c>
    </row>
    <row r="18" spans="1:9" x14ac:dyDescent="0.3">
      <c r="A18" s="54" t="s">
        <v>132</v>
      </c>
      <c r="B18" s="55">
        <f>SUM(B3:B17)</f>
        <v>26854273.553599998</v>
      </c>
      <c r="C18" s="55">
        <f>SUM(C3:C17)</f>
        <v>35311894.123199999</v>
      </c>
      <c r="D18" s="52">
        <f t="shared" si="0"/>
        <v>0.31494505158439484</v>
      </c>
    </row>
    <row r="19" spans="1:9" x14ac:dyDescent="0.3">
      <c r="G19" t="s">
        <v>137</v>
      </c>
      <c r="H19">
        <f>SUM(H3:H18)</f>
        <v>177.5</v>
      </c>
      <c r="I19">
        <f>H19*2*12</f>
        <v>4260</v>
      </c>
    </row>
  </sheetData>
  <mergeCells count="1">
    <mergeCell ref="A1:G1"/>
  </mergeCells>
  <conditionalFormatting sqref="D3:D18">
    <cfRule type="cellIs" dxfId="1" priority="1" operator="greaterThan">
      <formula>0.2</formula>
    </cfRule>
    <cfRule type="cellIs" dxfId="0" priority="2" operator="greaterThan">
      <formula>1.2</formula>
    </cfRule>
  </conditionalFormatting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143B-038D-4DCB-94D6-5EF30D8F2889}">
  <dimension ref="A2:H29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8" max="8" width="14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1</v>
      </c>
      <c r="F5" s="27">
        <f t="shared" si="0"/>
        <v>7519.48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0</v>
      </c>
      <c r="F6" s="27">
        <f t="shared" si="0"/>
        <v>0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0</v>
      </c>
      <c r="F7" s="27">
        <f t="shared" si="0"/>
        <v>0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1</v>
      </c>
      <c r="F12" s="27">
        <f t="shared" si="0"/>
        <v>6750.64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27684.032799999997</v>
      </c>
      <c r="H25" s="39">
        <f>F25*12</f>
        <v>332208.39359999995</v>
      </c>
    </row>
    <row r="28" spans="1:8" x14ac:dyDescent="0.3">
      <c r="H28" s="42"/>
    </row>
    <row r="29" spans="1:8" ht="15.6" x14ac:dyDescent="0.3">
      <c r="H29" s="43">
        <v>339331.79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8CE5-566D-4063-A2CB-5DB56F46CCA6}">
  <dimension ref="A2:H28"/>
  <sheetViews>
    <sheetView topLeftCell="A2"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8" max="8" width="14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1</v>
      </c>
      <c r="F5" s="27">
        <f t="shared" si="0"/>
        <v>7519.48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0</v>
      </c>
      <c r="F6" s="27">
        <f t="shared" si="0"/>
        <v>0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0</v>
      </c>
      <c r="F7" s="27">
        <f t="shared" si="0"/>
        <v>0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14587.791199999998</v>
      </c>
      <c r="H25" s="39">
        <f>F25*12</f>
        <v>175053.49439999997</v>
      </c>
    </row>
    <row r="28" spans="1:8" x14ac:dyDescent="0.3">
      <c r="H28" s="41">
        <v>154872.43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06BC-8373-4BF5-B2F1-2F08040FA93E}">
  <dimension ref="A2:H29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8" max="8" width="15.5546875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0</v>
      </c>
      <c r="F5" s="27">
        <f t="shared" si="0"/>
        <v>0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4</v>
      </c>
      <c r="F6" s="27">
        <f t="shared" si="0"/>
        <v>42709.8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2</v>
      </c>
      <c r="F7" s="27">
        <f t="shared" si="0"/>
        <v>28033.54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1</v>
      </c>
      <c r="F8" s="27">
        <f t="shared" si="0"/>
        <v>15901.68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2</v>
      </c>
      <c r="F19" s="27">
        <f t="shared" si="0"/>
        <v>16228.78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199575.17199999996</v>
      </c>
      <c r="H25" s="39">
        <f>F25*12</f>
        <v>2394902.0639999993</v>
      </c>
    </row>
    <row r="28" spans="1:8" x14ac:dyDescent="0.3">
      <c r="H28" s="42"/>
    </row>
    <row r="29" spans="1:8" ht="15.6" x14ac:dyDescent="0.3">
      <c r="H29" s="43">
        <v>2275322.75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2A05-944C-46B8-82E1-4EE19A767A48}">
  <dimension ref="A2:J32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7.88671875" bestFit="1" customWidth="1"/>
    <col min="6" max="6" width="16" bestFit="1" customWidth="1"/>
    <col min="8" max="8" width="16.5546875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2</v>
      </c>
      <c r="F4" s="27">
        <f t="shared" ref="F4:F23" si="0">E4*D4</f>
        <v>36169.06</v>
      </c>
    </row>
    <row r="5" spans="1:6" x14ac:dyDescent="0.3">
      <c r="A5" s="25"/>
      <c r="B5" s="25" t="s">
        <v>59</v>
      </c>
      <c r="C5" s="25"/>
      <c r="D5" s="38">
        <v>7519.48</v>
      </c>
      <c r="E5" s="25">
        <v>1</v>
      </c>
      <c r="F5" s="27">
        <f t="shared" si="0"/>
        <v>7519.48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6</v>
      </c>
      <c r="F6" s="27">
        <f t="shared" si="0"/>
        <v>64064.700000000004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6</v>
      </c>
      <c r="F7" s="27">
        <f t="shared" si="0"/>
        <v>84100.62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12</v>
      </c>
      <c r="F11" s="27">
        <f t="shared" si="0"/>
        <v>134735.16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1</v>
      </c>
      <c r="F14" s="27">
        <f t="shared" si="0"/>
        <v>13497.19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1</v>
      </c>
      <c r="F16" s="27">
        <f t="shared" si="0"/>
        <v>12115.48</v>
      </c>
    </row>
    <row r="17" spans="1:10" x14ac:dyDescent="0.3">
      <c r="A17" s="25"/>
      <c r="B17" s="25" t="s">
        <v>71</v>
      </c>
      <c r="C17" s="25"/>
      <c r="D17" s="38">
        <v>11732.2</v>
      </c>
      <c r="E17" s="25">
        <v>2</v>
      </c>
      <c r="F17" s="27">
        <f t="shared" si="0"/>
        <v>23464.400000000001</v>
      </c>
    </row>
    <row r="18" spans="1:10" x14ac:dyDescent="0.3">
      <c r="A18" s="25"/>
      <c r="B18" s="25" t="s">
        <v>40</v>
      </c>
      <c r="C18" s="25"/>
      <c r="D18" s="38">
        <v>13949.62</v>
      </c>
      <c r="E18" s="25">
        <v>1</v>
      </c>
      <c r="F18" s="27">
        <f t="shared" si="0"/>
        <v>13949.62</v>
      </c>
    </row>
    <row r="19" spans="1:10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10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10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</row>
    <row r="22" spans="1:10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10" x14ac:dyDescent="0.3">
      <c r="A23" s="25"/>
      <c r="B23" s="25" t="s">
        <v>58</v>
      </c>
      <c r="C23" s="25"/>
      <c r="D23" s="38">
        <v>11081.16</v>
      </c>
      <c r="E23" s="25">
        <v>3</v>
      </c>
      <c r="F23" s="27">
        <f t="shared" si="0"/>
        <v>33243.479999999996</v>
      </c>
    </row>
    <row r="24" spans="1:10" x14ac:dyDescent="0.3">
      <c r="F24" s="39" t="s">
        <v>98</v>
      </c>
      <c r="H24" s="39" t="s">
        <v>104</v>
      </c>
    </row>
    <row r="25" spans="1:10" x14ac:dyDescent="0.3">
      <c r="F25" s="39">
        <f>(SUM(F3:F24))*1.94</f>
        <v>820346.82860000001</v>
      </c>
      <c r="H25" s="39">
        <f>F25*12</f>
        <v>9844161.9431999996</v>
      </c>
      <c r="J25" t="s">
        <v>103</v>
      </c>
    </row>
    <row r="26" spans="1:10" x14ac:dyDescent="0.3">
      <c r="J26" s="44">
        <f>(H25-H29)/H29</f>
        <v>0.59965859635172802</v>
      </c>
    </row>
    <row r="28" spans="1:10" x14ac:dyDescent="0.3">
      <c r="H28" s="48" t="s">
        <v>102</v>
      </c>
    </row>
    <row r="29" spans="1:10" ht="15.6" x14ac:dyDescent="0.3">
      <c r="H29" s="49">
        <v>6153914.3200000003</v>
      </c>
    </row>
    <row r="32" spans="1:10" x14ac:dyDescent="0.3">
      <c r="H32" s="45">
        <f>H25-H29</f>
        <v>3690247.6231999993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7FC9-A3C7-4484-96FB-8DF98E026D46}">
  <dimension ref="A2:H28"/>
  <sheetViews>
    <sheetView topLeftCell="A2"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8" max="8" width="14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2</v>
      </c>
      <c r="F5" s="27">
        <f t="shared" si="0"/>
        <v>15038.96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1</v>
      </c>
      <c r="F6" s="27">
        <f t="shared" si="0"/>
        <v>10677.45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0</v>
      </c>
      <c r="F7" s="27">
        <f t="shared" si="0"/>
        <v>0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1</v>
      </c>
      <c r="F8" s="27">
        <f t="shared" si="0"/>
        <v>15901.68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80739.094599999997</v>
      </c>
      <c r="H25" s="39">
        <f>F25*12</f>
        <v>968869.1351999999</v>
      </c>
    </row>
    <row r="28" spans="1:8" x14ac:dyDescent="0.3">
      <c r="H28" s="41">
        <v>834159.49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917C-6DAF-4277-86CA-61B752FF6776}">
  <dimension ref="A2:H25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8" max="8" width="14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1</v>
      </c>
      <c r="F5" s="27">
        <f t="shared" si="0"/>
        <v>7519.48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0</v>
      </c>
      <c r="F6" s="27">
        <f t="shared" si="0"/>
        <v>0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0</v>
      </c>
      <c r="F7" s="27">
        <f t="shared" si="0"/>
        <v>0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14587.791199999998</v>
      </c>
      <c r="H25" s="39">
        <f>F25*12</f>
        <v>175053.49439999997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EFB59-73BC-406A-A7CE-20AA6B9577A0}">
  <dimension ref="A2:H28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8" max="8" width="15.5546875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1</v>
      </c>
      <c r="F3" s="27">
        <f>E3*D3</f>
        <v>12073.7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2</v>
      </c>
      <c r="F5" s="27">
        <f t="shared" si="0"/>
        <v>15038.96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1</v>
      </c>
      <c r="F6" s="27">
        <f t="shared" si="0"/>
        <v>10677.45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1</v>
      </c>
      <c r="F7" s="27">
        <f t="shared" si="0"/>
        <v>14016.77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1</v>
      </c>
      <c r="F10" s="27">
        <f t="shared" si="0"/>
        <v>8744.98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1</v>
      </c>
      <c r="F21" s="27">
        <f t="shared" si="0"/>
        <v>5412.32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127970.50919999999</v>
      </c>
      <c r="H25" s="39">
        <f>F25*12</f>
        <v>1535646.1103999999</v>
      </c>
    </row>
    <row r="28" spans="1:8" x14ac:dyDescent="0.3">
      <c r="H28" s="41">
        <v>1332671.8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5630-11CC-4C8D-B1FC-125B1CD30424}">
  <dimension ref="A2:H29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7" max="7" width="12.88671875" bestFit="1" customWidth="1"/>
    <col min="8" max="8" width="15.5546875" bestFit="1" customWidth="1"/>
  </cols>
  <sheetData>
    <row r="2" spans="1:7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7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  <c r="G3" s="45">
        <f>F3*1.94</f>
        <v>0</v>
      </c>
    </row>
    <row r="4" spans="1:7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  <c r="G4" s="45">
        <f t="shared" ref="G4:G23" si="1">F4*1.94</f>
        <v>0</v>
      </c>
    </row>
    <row r="5" spans="1:7" x14ac:dyDescent="0.3">
      <c r="A5" s="25"/>
      <c r="B5" s="25" t="s">
        <v>59</v>
      </c>
      <c r="C5" s="25"/>
      <c r="D5" s="38">
        <v>7519.48</v>
      </c>
      <c r="E5" s="25">
        <v>2</v>
      </c>
      <c r="F5" s="27">
        <f t="shared" si="0"/>
        <v>15038.96</v>
      </c>
      <c r="G5" s="45">
        <f t="shared" si="1"/>
        <v>29175.582399999996</v>
      </c>
    </row>
    <row r="6" spans="1:7" x14ac:dyDescent="0.3">
      <c r="A6" s="25"/>
      <c r="B6" s="25" t="s">
        <v>60</v>
      </c>
      <c r="C6" s="25"/>
      <c r="D6" s="38">
        <v>10677.45</v>
      </c>
      <c r="E6" s="25">
        <v>2</v>
      </c>
      <c r="F6" s="27">
        <f t="shared" si="0"/>
        <v>21354.9</v>
      </c>
      <c r="G6" s="45">
        <f t="shared" si="1"/>
        <v>41428.506000000001</v>
      </c>
    </row>
    <row r="7" spans="1:7" x14ac:dyDescent="0.3">
      <c r="A7" s="25"/>
      <c r="B7" s="25" t="s">
        <v>61</v>
      </c>
      <c r="C7" s="25"/>
      <c r="D7" s="38">
        <v>14016.77</v>
      </c>
      <c r="E7" s="25">
        <v>1</v>
      </c>
      <c r="F7" s="27">
        <f t="shared" si="0"/>
        <v>14016.77</v>
      </c>
      <c r="G7" s="45">
        <f t="shared" si="1"/>
        <v>27192.533800000001</v>
      </c>
    </row>
    <row r="8" spans="1:7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  <c r="G8" s="45">
        <f t="shared" si="1"/>
        <v>0</v>
      </c>
    </row>
    <row r="9" spans="1:7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  <c r="G9" s="45">
        <f t="shared" si="1"/>
        <v>0</v>
      </c>
    </row>
    <row r="10" spans="1:7" x14ac:dyDescent="0.3">
      <c r="A10" s="25"/>
      <c r="B10" s="25" t="s">
        <v>64</v>
      </c>
      <c r="C10" s="25"/>
      <c r="D10" s="38">
        <v>8744.98</v>
      </c>
      <c r="E10" s="25">
        <v>3</v>
      </c>
      <c r="F10" s="27">
        <f t="shared" si="0"/>
        <v>26234.94</v>
      </c>
      <c r="G10" s="45">
        <f t="shared" si="1"/>
        <v>50895.783599999995</v>
      </c>
    </row>
    <row r="11" spans="1:7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  <c r="G11" s="45">
        <f t="shared" si="1"/>
        <v>0</v>
      </c>
    </row>
    <row r="12" spans="1:7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  <c r="G12" s="45">
        <f t="shared" si="1"/>
        <v>0</v>
      </c>
    </row>
    <row r="13" spans="1:7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  <c r="G13" s="45">
        <f t="shared" si="1"/>
        <v>0</v>
      </c>
    </row>
    <row r="14" spans="1:7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  <c r="G14" s="45">
        <f t="shared" si="1"/>
        <v>0</v>
      </c>
    </row>
    <row r="15" spans="1:7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  <c r="G15" s="45">
        <f t="shared" si="1"/>
        <v>0</v>
      </c>
    </row>
    <row r="16" spans="1:7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  <c r="G16" s="45">
        <f t="shared" si="1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  <c r="G17" s="45">
        <f t="shared" si="1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  <c r="G18" s="45">
        <f t="shared" si="1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  <c r="G19" s="45">
        <f t="shared" si="1"/>
        <v>0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  <c r="G20" s="45">
        <f t="shared" si="1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  <c r="G21" s="45">
        <f t="shared" si="1"/>
        <v>0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3</v>
      </c>
      <c r="F22" s="27">
        <f t="shared" si="0"/>
        <v>23387.25</v>
      </c>
      <c r="G22" s="45">
        <f t="shared" si="1"/>
        <v>45371.264999999999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  <c r="G23" s="45">
        <f t="shared" si="1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194063.67080000002</v>
      </c>
      <c r="H25" s="39">
        <f>F25*12</f>
        <v>2328764.0496000005</v>
      </c>
    </row>
    <row r="29" spans="1:8" x14ac:dyDescent="0.3">
      <c r="H29" s="41">
        <v>1466808.62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E4CB-5027-466B-9829-F170D6BEA311}">
  <dimension ref="A2:J28"/>
  <sheetViews>
    <sheetView topLeftCell="A2"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16" bestFit="1" customWidth="1"/>
    <col min="8" max="8" width="15.5546875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1</v>
      </c>
      <c r="F5" s="27">
        <f t="shared" si="0"/>
        <v>7519.48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4</v>
      </c>
      <c r="F6" s="27">
        <f t="shared" si="0"/>
        <v>42709.8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0</v>
      </c>
      <c r="F7" s="27">
        <f t="shared" si="0"/>
        <v>0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1</v>
      </c>
      <c r="F10" s="27">
        <f t="shared" si="0"/>
        <v>8744.98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10" x14ac:dyDescent="0.3">
      <c r="A17" s="25"/>
      <c r="B17" s="25" t="s">
        <v>71</v>
      </c>
      <c r="C17" s="25"/>
      <c r="D17" s="38">
        <v>11732.2</v>
      </c>
      <c r="E17" s="25">
        <v>1</v>
      </c>
      <c r="F17" s="27">
        <f t="shared" si="0"/>
        <v>11732.2</v>
      </c>
    </row>
    <row r="18" spans="1:10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10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10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10" x14ac:dyDescent="0.3">
      <c r="A21" s="25"/>
      <c r="B21" s="25" t="s">
        <v>56</v>
      </c>
      <c r="C21" s="25"/>
      <c r="D21" s="38">
        <v>5412.32</v>
      </c>
      <c r="E21" s="25">
        <v>1</v>
      </c>
      <c r="F21" s="27">
        <f t="shared" si="0"/>
        <v>5412.32</v>
      </c>
    </row>
    <row r="22" spans="1:10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10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10" x14ac:dyDescent="0.3">
      <c r="F24" s="39" t="s">
        <v>98</v>
      </c>
      <c r="H24" s="39" t="s">
        <v>104</v>
      </c>
    </row>
    <row r="25" spans="1:10" x14ac:dyDescent="0.3">
      <c r="F25" s="39">
        <f>(SUM(F3:F24))*1.94</f>
        <v>147670.4332</v>
      </c>
      <c r="H25" s="39">
        <f>F25*12</f>
        <v>1772045.1984000001</v>
      </c>
    </row>
    <row r="26" spans="1:10" x14ac:dyDescent="0.3">
      <c r="J26" s="44">
        <f>H25/H28</f>
        <v>2.0396495202623828</v>
      </c>
    </row>
    <row r="27" spans="1:10" x14ac:dyDescent="0.3">
      <c r="H27" t="s">
        <v>102</v>
      </c>
    </row>
    <row r="28" spans="1:10" x14ac:dyDescent="0.3">
      <c r="H28" s="41">
        <v>868798.87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18DE-CF4A-4DF8-BBCC-AEC209DFA2FC}">
  <dimension ref="A1:AS38"/>
  <sheetViews>
    <sheetView tabSelected="1" topLeftCell="C1" workbookViewId="0">
      <pane xSplit="6" ySplit="3" topLeftCell="S17" activePane="bottomRight" state="frozen"/>
      <selection activeCell="C1" sqref="C1"/>
      <selection pane="topRight" activeCell="I1" sqref="I1"/>
      <selection pane="bottomLeft" activeCell="C4" sqref="C4"/>
      <selection pane="bottomRight" activeCell="X22" sqref="X22"/>
    </sheetView>
  </sheetViews>
  <sheetFormatPr defaultRowHeight="14.4" x14ac:dyDescent="0.3"/>
  <cols>
    <col min="3" max="3" width="5.33203125" bestFit="1" customWidth="1"/>
    <col min="4" max="4" width="11.88671875" bestFit="1" customWidth="1"/>
    <col min="5" max="5" width="41.88671875" bestFit="1" customWidth="1"/>
    <col min="6" max="6" width="15.33203125" customWidth="1"/>
    <col min="7" max="7" width="17.88671875" customWidth="1"/>
    <col min="8" max="8" width="22.6640625" customWidth="1"/>
    <col min="9" max="9" width="8.109375" customWidth="1"/>
    <col min="10" max="10" width="8.33203125" customWidth="1"/>
    <col min="11" max="11" width="8.109375" customWidth="1"/>
    <col min="12" max="12" width="8.5546875" bestFit="1" customWidth="1"/>
    <col min="13" max="18" width="8.109375" customWidth="1"/>
    <col min="19" max="19" width="8.5546875" bestFit="1" customWidth="1"/>
    <col min="20" max="22" width="8.109375" customWidth="1"/>
    <col min="23" max="23" width="8.5546875" bestFit="1" customWidth="1"/>
    <col min="24" max="24" width="8" customWidth="1"/>
    <col min="25" max="25" width="17.88671875" customWidth="1"/>
    <col min="26" max="26" width="19.44140625" customWidth="1"/>
    <col min="30" max="30" width="15.5546875" bestFit="1" customWidth="1"/>
  </cols>
  <sheetData>
    <row r="1" spans="1:45" s="2" customFormat="1" x14ac:dyDescent="0.3">
      <c r="A1" s="1"/>
      <c r="C1" s="86" t="s">
        <v>0</v>
      </c>
      <c r="D1" s="86"/>
      <c r="E1" s="86"/>
      <c r="F1" s="86"/>
      <c r="G1" s="86"/>
      <c r="H1" s="86"/>
      <c r="I1" s="8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29"/>
      <c r="Z1" s="4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s="7" customFormat="1" ht="14.4" customHeight="1" x14ac:dyDescent="0.3">
      <c r="A2" s="6"/>
      <c r="C2" s="87" t="s">
        <v>1</v>
      </c>
      <c r="D2" s="64" t="s">
        <v>143</v>
      </c>
      <c r="E2" s="66" t="s">
        <v>2</v>
      </c>
      <c r="F2" s="87" t="s">
        <v>3</v>
      </c>
      <c r="G2" s="87" t="s">
        <v>4</v>
      </c>
      <c r="H2" s="87" t="s">
        <v>5</v>
      </c>
      <c r="I2" s="75" t="s">
        <v>74</v>
      </c>
      <c r="J2" s="68" t="s">
        <v>82</v>
      </c>
      <c r="K2" s="68" t="s">
        <v>83</v>
      </c>
      <c r="L2" s="68" t="s">
        <v>84</v>
      </c>
      <c r="M2" s="68" t="s">
        <v>85</v>
      </c>
      <c r="N2" s="68" t="s">
        <v>86</v>
      </c>
      <c r="O2" s="68" t="s">
        <v>87</v>
      </c>
      <c r="P2" s="68" t="s">
        <v>88</v>
      </c>
      <c r="Q2" s="68" t="s">
        <v>89</v>
      </c>
      <c r="R2" s="68" t="s">
        <v>90</v>
      </c>
      <c r="S2" s="68" t="s">
        <v>91</v>
      </c>
      <c r="T2" s="68" t="s">
        <v>93</v>
      </c>
      <c r="U2" s="68" t="s">
        <v>94</v>
      </c>
      <c r="V2" s="77" t="s">
        <v>95</v>
      </c>
      <c r="W2" s="68" t="s">
        <v>96</v>
      </c>
      <c r="X2" s="68" t="s">
        <v>97</v>
      </c>
      <c r="Y2" s="73" t="s">
        <v>6</v>
      </c>
      <c r="Z2" s="73" t="s">
        <v>100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s="7" customFormat="1" x14ac:dyDescent="0.3">
      <c r="A3" s="6"/>
      <c r="C3" s="81"/>
      <c r="D3" s="65"/>
      <c r="E3" s="67"/>
      <c r="F3" s="81"/>
      <c r="G3" s="81"/>
      <c r="H3" s="81"/>
      <c r="I3" s="76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8"/>
      <c r="W3" s="69"/>
      <c r="X3" s="69"/>
      <c r="Y3" s="74"/>
      <c r="Z3" s="74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s="7" customFormat="1" ht="27.6" x14ac:dyDescent="0.3">
      <c r="A4" s="6"/>
      <c r="C4" s="9">
        <v>1</v>
      </c>
      <c r="D4" s="10" t="s">
        <v>8</v>
      </c>
      <c r="E4" s="10" t="s">
        <v>92</v>
      </c>
      <c r="F4" s="11">
        <v>30001</v>
      </c>
      <c r="G4" s="12" t="s">
        <v>9</v>
      </c>
      <c r="H4" s="10" t="s">
        <v>10</v>
      </c>
      <c r="I4" s="31">
        <f t="shared" ref="I4:I24" si="0">SUM(J4:X4)</f>
        <v>1</v>
      </c>
      <c r="J4" s="9">
        <f>_xlfn.XLOOKUP($D4,'[1]6 - Resultado'!$D$7:$D$27,'[1]6 - Resultado'!$I$7:$I$27)</f>
        <v>0</v>
      </c>
      <c r="K4" s="9">
        <f>_xlfn.XLOOKUP($D4,'[2]6 - Resultado'!$D$7:$D$27,'[2]6 - Resultado'!$I$7:$I$27,0)</f>
        <v>0</v>
      </c>
      <c r="L4" s="9">
        <f>_xlfn.XLOOKUP($D4,'[3]6 - Resultado'!$D$7:$D$24,'[3]6 - Resultado'!$I$7:$I$24,0)</f>
        <v>0</v>
      </c>
      <c r="M4" s="9">
        <f>_xlfn.XLOOKUP($D4,'[4]6 - Resultado'!$D$7:$D$24,'[4]6 - Resultado'!$I$7:$I$24,0)</f>
        <v>0</v>
      </c>
      <c r="N4" s="9">
        <f>_xlfn.XLOOKUP($D4,'[5]6 - Resultado'!$D$7:$D$24,'[5]6 - Resultado'!$I$7:$I$24,0)</f>
        <v>0</v>
      </c>
      <c r="O4" s="9">
        <f>_xlfn.XLOOKUP($D4,'[6]6 - Resultado'!$D$7:$D$24,'[6]6 - Resultado'!$I$7:$I$24,0)</f>
        <v>0</v>
      </c>
      <c r="P4" s="9">
        <f>_xlfn.XLOOKUP($D4,'[7]6 - Resultado'!$D$7:$D$24,'[7]6 - Resultado'!$I$7:$I$24,0)</f>
        <v>0</v>
      </c>
      <c r="Q4" s="9">
        <f>_xlfn.XLOOKUP($D4,'[8]6 - Resultado'!$D$7:$D$24,'[8]6 - Resultado'!$I$7:$I$24,0)</f>
        <v>0</v>
      </c>
      <c r="R4" s="9">
        <f>_xlfn.XLOOKUP($D4,'[9]6 - Resultado'!$D$7:$D$24,'[9]6 - Resultado'!$I$7:$I$24,0)</f>
        <v>0</v>
      </c>
      <c r="S4" s="9">
        <f>_xlfn.XLOOKUP($D4,'[15]6 - Resultado'!$D$7:$D$27,'[15]6 - Resultado'!$I$7:$I$27,0)</f>
        <v>0</v>
      </c>
      <c r="T4" s="9">
        <f>_xlfn.XLOOKUP($D4,'[10]6 - Resultado'!$D$7:$D$24,'[10]6 - Resultado'!$I$7:$I$24,0)</f>
        <v>0</v>
      </c>
      <c r="U4" s="9">
        <f>_xlfn.XLOOKUP($D4,'[11]6 - Resultado'!$D$7:$D$24,'[11]6 - Resultado'!$I$7:$I$24,0)</f>
        <v>0</v>
      </c>
      <c r="V4" s="9">
        <f>_xlfn.XLOOKUP($D4,'[12]6 - Resultado'!$D$7:$D$24,'[12]6 - Resultado'!$I$7:$I$24,0)</f>
        <v>1</v>
      </c>
      <c r="W4" s="9">
        <f>_xlfn.XLOOKUP($D4,'[13]6 - Resultado'!$D$7:$D$27,'[13]6 - Resultado'!$I$7:$I$27,0)</f>
        <v>0</v>
      </c>
      <c r="X4" s="9">
        <f>_xlfn.XLOOKUP($D4,'[16]6 - Resultado'!$D$7:$D$27,'[16]6 - Resultado'!$I$7:$I$27,0)</f>
        <v>0</v>
      </c>
      <c r="Y4" s="30">
        <f>(MODELO!D3*I4)*1.94</f>
        <v>23422.977999999999</v>
      </c>
      <c r="Z4" s="13">
        <f>Y4*12</f>
        <v>281075.73599999998</v>
      </c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s="7" customFormat="1" ht="27.6" x14ac:dyDescent="0.3">
      <c r="A5" s="6"/>
      <c r="C5" s="9">
        <v>2</v>
      </c>
      <c r="D5" s="10" t="s">
        <v>11</v>
      </c>
      <c r="E5" s="10" t="s">
        <v>12</v>
      </c>
      <c r="F5" s="11">
        <v>30001</v>
      </c>
      <c r="G5" s="12" t="s">
        <v>9</v>
      </c>
      <c r="H5" s="10" t="s">
        <v>10</v>
      </c>
      <c r="I5" s="31">
        <f t="shared" si="0"/>
        <v>2</v>
      </c>
      <c r="J5" s="9">
        <f>_xlfn.XLOOKUP(D5,'[1]6 - Resultado'!$D$7:$D$27,'[1]6 - Resultado'!$I$7:$I$27)</f>
        <v>0</v>
      </c>
      <c r="K5" s="9">
        <f>_xlfn.XLOOKUP(D5,'[2]6 - Resultado'!$D$7:$D$27,'[2]6 - Resultado'!$I$7:$I$27,0)</f>
        <v>0</v>
      </c>
      <c r="L5" s="9">
        <f>_xlfn.XLOOKUP($D5,'[3]6 - Resultado'!$D$7:$D$24,'[3]6 - Resultado'!$I$7:$I$24,0)</f>
        <v>0</v>
      </c>
      <c r="M5" s="9">
        <f>_xlfn.XLOOKUP($D5,'[4]6 - Resultado'!$D$7:$D$24,'[4]6 - Resultado'!$I$7:$I$24,0)</f>
        <v>0</v>
      </c>
      <c r="N5" s="9">
        <f>_xlfn.XLOOKUP($D5,'[5]6 - Resultado'!$D$7:$D$24,'[5]6 - Resultado'!$I$7:$I$24,0)</f>
        <v>0</v>
      </c>
      <c r="O5" s="9">
        <f>_xlfn.XLOOKUP($D5,'[6]6 - Resultado'!$D$7:$D$24,'[6]6 - Resultado'!$I$7:$I$24,0)</f>
        <v>0</v>
      </c>
      <c r="P5" s="9">
        <f>_xlfn.XLOOKUP($D5,'[7]6 - Resultado'!$D$7:$D$24,'[7]6 - Resultado'!$I$7:$I$24,0)</f>
        <v>0</v>
      </c>
      <c r="Q5" s="9">
        <f>_xlfn.XLOOKUP($D5,'[8]6 - Resultado'!$D$7:$D$24,'[8]6 - Resultado'!$I$7:$I$24,0)</f>
        <v>0</v>
      </c>
      <c r="R5" s="9">
        <f>_xlfn.XLOOKUP($D5,'[9]6 - Resultado'!$D$7:$D$24,'[9]6 - Resultado'!$I$7:$I$24,0)</f>
        <v>0</v>
      </c>
      <c r="S5" s="9">
        <f>_xlfn.XLOOKUP($D5,'[15]6 - Resultado'!$D$7:$D$27,'[15]6 - Resultado'!$I$7:$I$27,0)</f>
        <v>2</v>
      </c>
      <c r="T5" s="9">
        <f>_xlfn.XLOOKUP($D5,'[10]6 - Resultado'!$D$7:$D$24,'[10]6 - Resultado'!$I$7:$I$24,0)</f>
        <v>0</v>
      </c>
      <c r="U5" s="9">
        <f>_xlfn.XLOOKUP($D5,'[11]6 - Resultado'!$D$7:$D$24,'[11]6 - Resultado'!$I$7:$I$24,0)</f>
        <v>0</v>
      </c>
      <c r="V5" s="9">
        <f>_xlfn.XLOOKUP($D5,'[12]6 - Resultado'!$D$7:$D$24,'[12]6 - Resultado'!$I$7:$I$24,0)</f>
        <v>0</v>
      </c>
      <c r="W5" s="9">
        <f>_xlfn.XLOOKUP($D5,'[13]6 - Resultado'!$D$7:$D$27,'[13]6 - Resultado'!$I$7:$I$27,0)</f>
        <v>0</v>
      </c>
      <c r="X5" s="9">
        <f>_xlfn.XLOOKUP($D5,'[16]6 - Resultado'!$D$7:$D$27,'[16]6 - Resultado'!$I$7:$I$27,0)</f>
        <v>0</v>
      </c>
      <c r="Y5" s="30">
        <f>(MODELO!D4*I5)*1.94</f>
        <v>70167.9764</v>
      </c>
      <c r="Z5" s="13">
        <f t="shared" ref="Z5:Z19" si="1">Y5*12</f>
        <v>842015.71680000005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</row>
    <row r="6" spans="1:45" s="7" customFormat="1" ht="27.6" x14ac:dyDescent="0.3">
      <c r="A6" s="6"/>
      <c r="C6" s="9">
        <v>3</v>
      </c>
      <c r="D6" s="10" t="s">
        <v>13</v>
      </c>
      <c r="E6" s="10" t="s">
        <v>14</v>
      </c>
      <c r="F6" s="11">
        <v>30001</v>
      </c>
      <c r="G6" s="12" t="s">
        <v>9</v>
      </c>
      <c r="H6" s="10" t="s">
        <v>10</v>
      </c>
      <c r="I6" s="31">
        <f t="shared" si="0"/>
        <v>24</v>
      </c>
      <c r="J6" s="9">
        <f>_xlfn.XLOOKUP(D6,'[1]6 - Resultado'!$D$7:$D$27,'[1]6 - Resultado'!$I$7:$I$27)</f>
        <v>5</v>
      </c>
      <c r="K6" s="9">
        <f>_xlfn.XLOOKUP(D6,'[2]6 - Resultado'!$D$7:$D$27,'[2]6 - Resultado'!$I$7:$I$27,0)</f>
        <v>3</v>
      </c>
      <c r="L6" s="9">
        <f>_xlfn.XLOOKUP($D6,'[3]6 - Resultado'!$D$7:$D$24,'[3]6 - Resultado'!$I$7:$I$24,0)</f>
        <v>0</v>
      </c>
      <c r="M6" s="9">
        <f>_xlfn.XLOOKUP($D6,'[4]6 - Resultado'!$D$7:$D$24,'[4]6 - Resultado'!$I$7:$I$24,0)</f>
        <v>1</v>
      </c>
      <c r="N6" s="9">
        <f>_xlfn.XLOOKUP($D6,'[5]6 - Resultado'!$D$7:$D$24,'[5]6 - Resultado'!$I$7:$I$24,0)</f>
        <v>4</v>
      </c>
      <c r="O6" s="9">
        <f>_xlfn.XLOOKUP($D6,'[6]6 - Resultado'!$D$7:$D$24,'[6]6 - Resultado'!$I$7:$I$24,0)</f>
        <v>0</v>
      </c>
      <c r="P6" s="9">
        <f>_xlfn.XLOOKUP($D6,'[7]6 - Resultado'!$D$7:$D$24,'[7]6 - Resultado'!$I$7:$I$24,0)</f>
        <v>1</v>
      </c>
      <c r="Q6" s="9">
        <f>_xlfn.XLOOKUP($D6,'[8]6 - Resultado'!$D$7:$D$24,'[8]6 - Resultado'!$I$7:$I$24,0)</f>
        <v>1</v>
      </c>
      <c r="R6" s="9">
        <f>_xlfn.XLOOKUP($D6,'[9]6 - Resultado'!$D$7:$D$24,'[9]6 - Resultado'!$I$7:$I$24,0)</f>
        <v>0</v>
      </c>
      <c r="S6" s="9">
        <f>_xlfn.XLOOKUP($D6,'[15]6 - Resultado'!$D$7:$D$27,'[15]6 - Resultado'!$I$7:$I$27,0)</f>
        <v>1</v>
      </c>
      <c r="T6" s="9">
        <f>_xlfn.XLOOKUP($D6,'[10]6 - Resultado'!$D$7:$D$24,'[10]6 - Resultado'!$I$7:$I$24,0)</f>
        <v>2</v>
      </c>
      <c r="U6" s="9">
        <f>_xlfn.XLOOKUP($D6,'[11]6 - Resultado'!$D$7:$D$24,'[11]6 - Resultado'!$I$7:$I$24,0)</f>
        <v>1</v>
      </c>
      <c r="V6" s="9">
        <f>_xlfn.XLOOKUP($D6,'[12]6 - Resultado'!$D$7:$D$24,'[12]6 - Resultado'!$I$7:$I$24,0)</f>
        <v>2</v>
      </c>
      <c r="W6" s="9">
        <f>_xlfn.XLOOKUP($D6,'[13]6 - Resultado'!$D$7:$D$27,'[13]6 - Resultado'!$I$7:$I$27,0)</f>
        <v>2</v>
      </c>
      <c r="X6" s="9">
        <f>_xlfn.XLOOKUP($D6,'[16]6 - Resultado'!$D$7:$D$27,'[16]6 - Resultado'!$I$7:$I$27,0)</f>
        <v>1</v>
      </c>
      <c r="Y6" s="30">
        <f>(MODELO!D5*I6)*1.94</f>
        <v>350106.98879999999</v>
      </c>
      <c r="Z6" s="13">
        <f t="shared" si="1"/>
        <v>4201283.8656000001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s="7" customFormat="1" ht="27.6" x14ac:dyDescent="0.3">
      <c r="A7" s="6"/>
      <c r="C7" s="9">
        <v>4</v>
      </c>
      <c r="D7" s="10" t="s">
        <v>15</v>
      </c>
      <c r="E7" s="10" t="s">
        <v>16</v>
      </c>
      <c r="F7" s="11">
        <v>30001</v>
      </c>
      <c r="G7" s="12" t="s">
        <v>9</v>
      </c>
      <c r="H7" s="10" t="s">
        <v>10</v>
      </c>
      <c r="I7" s="31">
        <f t="shared" si="0"/>
        <v>34</v>
      </c>
      <c r="J7" s="9">
        <f>_xlfn.XLOOKUP(D7,'[1]6 - Resultado'!$D$7:$D$27,'[1]6 - Resultado'!$I$7:$I$27)</f>
        <v>11</v>
      </c>
      <c r="K7" s="9">
        <f>_xlfn.XLOOKUP(D7,'[2]6 - Resultado'!$D$7:$D$27,'[2]6 - Resultado'!$I$7:$I$27,0)</f>
        <v>1</v>
      </c>
      <c r="L7" s="9">
        <f>_xlfn.XLOOKUP($D7,'[3]6 - Resultado'!$D$7:$D$24,'[3]6 - Resultado'!$I$7:$I$24,0)</f>
        <v>1</v>
      </c>
      <c r="M7" s="9">
        <f>_xlfn.XLOOKUP($D7,'[4]6 - Resultado'!$D$7:$D$24,'[4]6 - Resultado'!$I$7:$I$24,0)</f>
        <v>0</v>
      </c>
      <c r="N7" s="9">
        <f>_xlfn.XLOOKUP($D7,'[5]6 - Resultado'!$D$7:$D$24,'[5]6 - Resultado'!$I$7:$I$24,0)</f>
        <v>0</v>
      </c>
      <c r="O7" s="9">
        <f>_xlfn.XLOOKUP($D7,'[6]6 - Resultado'!$D$7:$D$24,'[6]6 - Resultado'!$I$7:$I$24,0)</f>
        <v>3</v>
      </c>
      <c r="P7" s="9">
        <f>_xlfn.XLOOKUP($D7,'[7]6 - Resultado'!$D$7:$D$24,'[7]6 - Resultado'!$I$7:$I$24,0)</f>
        <v>0</v>
      </c>
      <c r="Q7" s="9">
        <f>_xlfn.XLOOKUP($D7,'[8]6 - Resultado'!$D$7:$D$24,'[8]6 - Resultado'!$I$7:$I$24,0)</f>
        <v>0</v>
      </c>
      <c r="R7" s="9">
        <f>_xlfn.XLOOKUP($D7,'[9]6 - Resultado'!$D$7:$D$24,'[9]6 - Resultado'!$I$7:$I$24,0)</f>
        <v>4</v>
      </c>
      <c r="S7" s="9">
        <f>_xlfn.XLOOKUP($D7,'[15]6 - Resultado'!$D$7:$D$27,'[15]6 - Resultado'!$I$7:$I$27,0)</f>
        <v>6</v>
      </c>
      <c r="T7" s="9">
        <f>_xlfn.XLOOKUP($D7,'[10]6 - Resultado'!$D$7:$D$24,'[10]6 - Resultado'!$I$7:$I$24,0)</f>
        <v>1</v>
      </c>
      <c r="U7" s="9">
        <f>_xlfn.XLOOKUP($D7,'[11]6 - Resultado'!$D$7:$D$24,'[11]6 - Resultado'!$I$7:$I$24,0)</f>
        <v>0</v>
      </c>
      <c r="V7" s="9">
        <f>_xlfn.XLOOKUP($D7,'[12]6 - Resultado'!$D$7:$D$24,'[12]6 - Resultado'!$I$7:$I$24,0)</f>
        <v>1</v>
      </c>
      <c r="W7" s="9">
        <f>_xlfn.XLOOKUP($D7,'[13]6 - Resultado'!$D$7:$D$27,'[13]6 - Resultado'!$I$7:$I$27,0)</f>
        <v>2</v>
      </c>
      <c r="X7" s="9">
        <f>_xlfn.XLOOKUP($D7,'[16]6 - Resultado'!$D$7:$D$27,'[16]6 - Resultado'!$I$7:$I$27,0)</f>
        <v>4</v>
      </c>
      <c r="Y7" s="30">
        <f>(MODELO!D6*I7)*1.94</f>
        <v>704284.60200000007</v>
      </c>
      <c r="Z7" s="13">
        <f t="shared" si="1"/>
        <v>8451415.2240000013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45" s="7" customFormat="1" ht="27.6" x14ac:dyDescent="0.3">
      <c r="A8" s="6"/>
      <c r="C8" s="9">
        <v>5</v>
      </c>
      <c r="D8" s="10" t="s">
        <v>17</v>
      </c>
      <c r="E8" s="10" t="s">
        <v>18</v>
      </c>
      <c r="F8" s="11">
        <v>30001</v>
      </c>
      <c r="G8" s="12" t="s">
        <v>9</v>
      </c>
      <c r="H8" s="10" t="s">
        <v>10</v>
      </c>
      <c r="I8" s="31">
        <f t="shared" si="0"/>
        <v>26</v>
      </c>
      <c r="J8" s="9">
        <f>_xlfn.XLOOKUP(D8,'[1]6 - Resultado'!$D$7:$D$27,'[1]6 - Resultado'!$I$7:$I$27)</f>
        <v>6</v>
      </c>
      <c r="K8" s="9">
        <f>_xlfn.XLOOKUP(D8,'[2]6 - Resultado'!$D$7:$D$27,'[2]6 - Resultado'!$I$7:$I$27,0)</f>
        <v>6</v>
      </c>
      <c r="L8" s="9">
        <f>_xlfn.XLOOKUP($D8,'[3]6 - Resultado'!$D$7:$D$24,'[3]6 - Resultado'!$I$7:$I$24,0)</f>
        <v>3</v>
      </c>
      <c r="M8" s="9">
        <f>_xlfn.XLOOKUP($D8,'[4]6 - Resultado'!$D$7:$D$24,'[4]6 - Resultado'!$I$7:$I$24,0)</f>
        <v>0</v>
      </c>
      <c r="N8" s="9">
        <f>_xlfn.XLOOKUP($D8,'[5]6 - Resultado'!$D$7:$D$24,'[5]6 - Resultado'!$I$7:$I$24,0)</f>
        <v>0</v>
      </c>
      <c r="O8" s="9">
        <f>_xlfn.XLOOKUP($D8,'[6]6 - Resultado'!$D$7:$D$24,'[6]6 - Resultado'!$I$7:$I$24,0)</f>
        <v>1</v>
      </c>
      <c r="P8" s="9">
        <f>_xlfn.XLOOKUP($D8,'[7]6 - Resultado'!$D$7:$D$24,'[7]6 - Resultado'!$I$7:$I$24,0)</f>
        <v>0</v>
      </c>
      <c r="Q8" s="9">
        <f>_xlfn.XLOOKUP($D8,'[8]6 - Resultado'!$D$7:$D$24,'[8]6 - Resultado'!$I$7:$I$24,0)</f>
        <v>0</v>
      </c>
      <c r="R8" s="9">
        <f>_xlfn.XLOOKUP($D8,'[9]6 - Resultado'!$D$7:$D$24,'[9]6 - Resultado'!$I$7:$I$24,0)</f>
        <v>2</v>
      </c>
      <c r="S8" s="9">
        <f>_xlfn.XLOOKUP($D8,'[15]6 - Resultado'!$D$7:$D$27,'[15]6 - Resultado'!$I$7:$I$27,0)</f>
        <v>6</v>
      </c>
      <c r="T8" s="9">
        <f>_xlfn.XLOOKUP($D8,'[10]6 - Resultado'!$D$7:$D$24,'[10]6 - Resultado'!$I$7:$I$24,0)</f>
        <v>0</v>
      </c>
      <c r="U8" s="9">
        <f>_xlfn.XLOOKUP($D8,'[11]6 - Resultado'!$D$7:$D$24,'[11]6 - Resultado'!$I$7:$I$24,0)</f>
        <v>0</v>
      </c>
      <c r="V8" s="9">
        <f>_xlfn.XLOOKUP($D8,'[12]6 - Resultado'!$D$7:$D$24,'[12]6 - Resultado'!$I$7:$I$24,0)</f>
        <v>1</v>
      </c>
      <c r="W8" s="9">
        <f>_xlfn.XLOOKUP($D8,'[13]6 - Resultado'!$D$7:$D$27,'[13]6 - Resultado'!$I$7:$I$27,0)</f>
        <v>1</v>
      </c>
      <c r="X8" s="9">
        <f>_xlfn.XLOOKUP($D8,'[16]6 - Resultado'!$D$7:$D$27,'[16]6 - Resultado'!$I$7:$I$27,0)</f>
        <v>0</v>
      </c>
      <c r="Y8" s="30">
        <f>(MODELO!D7*I8)*1.94</f>
        <v>707005.87880000006</v>
      </c>
      <c r="Z8" s="13">
        <f t="shared" si="1"/>
        <v>8484070.5456000008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s="7" customFormat="1" ht="27.6" x14ac:dyDescent="0.3">
      <c r="A9" s="6"/>
      <c r="C9" s="15">
        <v>6</v>
      </c>
      <c r="D9" s="16" t="s">
        <v>19</v>
      </c>
      <c r="E9" s="16" t="s">
        <v>20</v>
      </c>
      <c r="F9" s="11">
        <v>30001</v>
      </c>
      <c r="G9" s="12" t="s">
        <v>9</v>
      </c>
      <c r="H9" s="16" t="s">
        <v>10</v>
      </c>
      <c r="I9" s="31">
        <f t="shared" si="0"/>
        <v>4</v>
      </c>
      <c r="J9" s="9">
        <f>_xlfn.XLOOKUP(D9,'[1]6 - Resultado'!$D$7:$D$27,'[1]6 - Resultado'!$I$7:$I$27)</f>
        <v>1</v>
      </c>
      <c r="K9" s="9">
        <f>_xlfn.XLOOKUP(D9,'[2]6 - Resultado'!$D$7:$D$27,'[2]6 - Resultado'!$I$7:$I$27,0)</f>
        <v>0</v>
      </c>
      <c r="L9" s="9">
        <f>_xlfn.XLOOKUP($D9,'[3]6 - Resultado'!$D$7:$D$24,'[3]6 - Resultado'!$I$7:$I$24,0)</f>
        <v>1</v>
      </c>
      <c r="M9" s="9">
        <f>_xlfn.XLOOKUP($D9,'[4]6 - Resultado'!$D$7:$D$24,'[4]6 - Resultado'!$I$7:$I$24,0)</f>
        <v>0</v>
      </c>
      <c r="N9" s="9">
        <f>_xlfn.XLOOKUP($D9,'[5]6 - Resultado'!$D$7:$D$24,'[5]6 - Resultado'!$I$7:$I$24,0)</f>
        <v>0</v>
      </c>
      <c r="O9" s="9">
        <f>_xlfn.XLOOKUP($D9,'[6]6 - Resultado'!$D$7:$D$24,'[6]6 - Resultado'!$I$7:$I$24,0)</f>
        <v>0</v>
      </c>
      <c r="P9" s="9">
        <f>_xlfn.XLOOKUP($D9,'[7]6 - Resultado'!$D$7:$D$24,'[7]6 - Resultado'!$I$7:$I$24,0)</f>
        <v>0</v>
      </c>
      <c r="Q9" s="9">
        <f>_xlfn.XLOOKUP($D9,'[8]6 - Resultado'!$D$7:$D$24,'[8]6 - Resultado'!$I$7:$I$24,0)</f>
        <v>0</v>
      </c>
      <c r="R9" s="9">
        <f>_xlfn.XLOOKUP($D9,'[9]6 - Resultado'!$D$7:$D$24,'[9]6 - Resultado'!$I$7:$I$24,0)</f>
        <v>1</v>
      </c>
      <c r="S9" s="9">
        <f>_xlfn.XLOOKUP($D9,'[15]6 - Resultado'!$D$7:$D$27,'[15]6 - Resultado'!$I$7:$I$27,0)</f>
        <v>0</v>
      </c>
      <c r="T9" s="9">
        <f>_xlfn.XLOOKUP($D9,'[10]6 - Resultado'!$D$7:$D$24,'[10]6 - Resultado'!$I$7:$I$24,0)</f>
        <v>1</v>
      </c>
      <c r="U9" s="9">
        <f>_xlfn.XLOOKUP($D9,'[11]6 - Resultado'!$D$7:$D$24,'[11]6 - Resultado'!$I$7:$I$24,0)</f>
        <v>0</v>
      </c>
      <c r="V9" s="9">
        <f>_xlfn.XLOOKUP($D9,'[12]6 - Resultado'!$D$7:$D$24,'[12]6 - Resultado'!$I$7:$I$24,0)</f>
        <v>0</v>
      </c>
      <c r="W9" s="9">
        <f>_xlfn.XLOOKUP($D9,'[13]6 - Resultado'!$D$7:$D$27,'[13]6 - Resultado'!$I$7:$I$27,0)</f>
        <v>0</v>
      </c>
      <c r="X9" s="9">
        <f>_xlfn.XLOOKUP($D9,'[16]6 - Resultado'!$D$7:$D$27,'[16]6 - Resultado'!$I$7:$I$27,0)</f>
        <v>0</v>
      </c>
      <c r="Y9" s="30">
        <f>(MODELO!D8*I9)*1.94</f>
        <v>123397.0368</v>
      </c>
      <c r="Z9" s="13">
        <f t="shared" si="1"/>
        <v>1480764.4416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s="7" customFormat="1" ht="27.6" x14ac:dyDescent="0.3">
      <c r="A10" s="6"/>
      <c r="C10" s="9">
        <v>7</v>
      </c>
      <c r="D10" s="10" t="s">
        <v>21</v>
      </c>
      <c r="E10" s="10" t="s">
        <v>22</v>
      </c>
      <c r="F10" s="11">
        <v>30001</v>
      </c>
      <c r="G10" s="12" t="s">
        <v>9</v>
      </c>
      <c r="H10" s="10" t="s">
        <v>10</v>
      </c>
      <c r="I10" s="31">
        <f t="shared" si="0"/>
        <v>1</v>
      </c>
      <c r="J10" s="9">
        <f>_xlfn.XLOOKUP(D10,'[1]6 - Resultado'!$D$7:$D$27,'[1]6 - Resultado'!$I$7:$I$27)</f>
        <v>1</v>
      </c>
      <c r="K10" s="9">
        <f>_xlfn.XLOOKUP(D10,'[2]6 - Resultado'!$D$7:$D$27,'[2]6 - Resultado'!$I$7:$I$27,0)</f>
        <v>0</v>
      </c>
      <c r="L10" s="9">
        <f>_xlfn.XLOOKUP($D10,'[3]6 - Resultado'!$D$7:$D$24,'[3]6 - Resultado'!$I$7:$I$24,0)</f>
        <v>0</v>
      </c>
      <c r="M10" s="9">
        <f>_xlfn.XLOOKUP($D10,'[4]6 - Resultado'!$D$7:$D$24,'[4]6 - Resultado'!$I$7:$I$24,0)</f>
        <v>0</v>
      </c>
      <c r="N10" s="9">
        <f>_xlfn.XLOOKUP($D10,'[5]6 - Resultado'!$D$7:$D$24,'[5]6 - Resultado'!$I$7:$I$24,0)</f>
        <v>0</v>
      </c>
      <c r="O10" s="9">
        <f>_xlfn.XLOOKUP($D10,'[6]6 - Resultado'!$D$7:$D$24,'[6]6 - Resultado'!$I$7:$I$24,0)</f>
        <v>0</v>
      </c>
      <c r="P10" s="9">
        <f>_xlfn.XLOOKUP($D10,'[7]6 - Resultado'!$D$7:$D$24,'[7]6 - Resultado'!$I$7:$I$24,0)</f>
        <v>0</v>
      </c>
      <c r="Q10" s="9">
        <f>_xlfn.XLOOKUP($D10,'[8]6 - Resultado'!$D$7:$D$24,'[8]6 - Resultado'!$I$7:$I$24,0)</f>
        <v>0</v>
      </c>
      <c r="R10" s="9">
        <f>_xlfn.XLOOKUP($D10,'[9]6 - Resultado'!$D$7:$D$24,'[9]6 - Resultado'!$I$7:$I$24,0)</f>
        <v>0</v>
      </c>
      <c r="S10" s="9">
        <f>_xlfn.XLOOKUP($D10,'[15]6 - Resultado'!$D$7:$D$27,'[15]6 - Resultado'!$I$7:$I$27,0)</f>
        <v>0</v>
      </c>
      <c r="T10" s="9">
        <f>_xlfn.XLOOKUP($D10,'[10]6 - Resultado'!$D$7:$D$24,'[10]6 - Resultado'!$I$7:$I$24,0)</f>
        <v>0</v>
      </c>
      <c r="U10" s="9">
        <f>_xlfn.XLOOKUP($D10,'[11]6 - Resultado'!$D$7:$D$24,'[11]6 - Resultado'!$I$7:$I$24,0)</f>
        <v>0</v>
      </c>
      <c r="V10" s="9">
        <f>_xlfn.XLOOKUP($D10,'[12]6 - Resultado'!$D$7:$D$24,'[12]6 - Resultado'!$I$7:$I$24,0)</f>
        <v>0</v>
      </c>
      <c r="W10" s="9">
        <f>_xlfn.XLOOKUP($D10,'[13]6 - Resultado'!$D$7:$D$27,'[13]6 - Resultado'!$I$7:$I$27,0)</f>
        <v>0</v>
      </c>
      <c r="X10" s="9">
        <f>_xlfn.XLOOKUP($D10,'[16]6 - Resultado'!$D$7:$D$27,'[16]6 - Resultado'!$I$7:$I$27,0)</f>
        <v>0</v>
      </c>
      <c r="Y10" s="30">
        <f>(MODELO!D9*I10)*1.94</f>
        <v>12740.426199999998</v>
      </c>
      <c r="Z10" s="13">
        <f t="shared" si="1"/>
        <v>152885.11439999996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s="7" customFormat="1" ht="27.6" x14ac:dyDescent="0.3">
      <c r="A11" s="6"/>
      <c r="C11" s="9">
        <v>8</v>
      </c>
      <c r="D11" s="10" t="s">
        <v>23</v>
      </c>
      <c r="E11" s="10" t="s">
        <v>24</v>
      </c>
      <c r="F11" s="11">
        <v>30001</v>
      </c>
      <c r="G11" s="12" t="s">
        <v>9</v>
      </c>
      <c r="H11" s="10" t="s">
        <v>10</v>
      </c>
      <c r="I11" s="31">
        <f t="shared" si="0"/>
        <v>7</v>
      </c>
      <c r="J11" s="9">
        <f>_xlfn.XLOOKUP(D11,'[1]6 - Resultado'!$D$7:$D$27,'[1]6 - Resultado'!$I$7:$I$27)</f>
        <v>2</v>
      </c>
      <c r="K11" s="9">
        <f>_xlfn.XLOOKUP(D11,'[2]6 - Resultado'!$D$7:$D$27,'[2]6 - Resultado'!$I$7:$I$27,0)</f>
        <v>0</v>
      </c>
      <c r="L11" s="9">
        <f>_xlfn.XLOOKUP($D11,'[3]6 - Resultado'!$D$7:$D$24,'[3]6 - Resultado'!$I$7:$I$24,0)</f>
        <v>0</v>
      </c>
      <c r="M11" s="9">
        <f>_xlfn.XLOOKUP($D11,'[4]6 - Resultado'!$D$7:$D$24,'[4]6 - Resultado'!$I$7:$I$24,0)</f>
        <v>0</v>
      </c>
      <c r="N11" s="9">
        <f>_xlfn.XLOOKUP($D11,'[5]6 - Resultado'!$D$7:$D$24,'[5]6 - Resultado'!$I$7:$I$24,0)</f>
        <v>0</v>
      </c>
      <c r="O11" s="9">
        <f>_xlfn.XLOOKUP($D11,'[6]6 - Resultado'!$D$7:$D$24,'[6]6 - Resultado'!$I$7:$I$24,0)</f>
        <v>0</v>
      </c>
      <c r="P11" s="9">
        <f>_xlfn.XLOOKUP($D11,'[7]6 - Resultado'!$D$7:$D$24,'[7]6 - Resultado'!$I$7:$I$24,0)</f>
        <v>0</v>
      </c>
      <c r="Q11" s="9">
        <f>_xlfn.XLOOKUP($D11,'[8]6 - Resultado'!$D$7:$D$24,'[8]6 - Resultado'!$I$7:$I$24,0)</f>
        <v>0</v>
      </c>
      <c r="R11" s="9">
        <f>_xlfn.XLOOKUP($D11,'[9]6 - Resultado'!$D$7:$D$24,'[9]6 - Resultado'!$I$7:$I$24,0)</f>
        <v>0</v>
      </c>
      <c r="S11" s="9">
        <f>_xlfn.XLOOKUP($D11,'[15]6 - Resultado'!$D$7:$D$27,'[15]6 - Resultado'!$I$7:$I$27,0)</f>
        <v>0</v>
      </c>
      <c r="T11" s="9">
        <f>_xlfn.XLOOKUP($D11,'[10]6 - Resultado'!$D$7:$D$24,'[10]6 - Resultado'!$I$7:$I$24,0)</f>
        <v>0</v>
      </c>
      <c r="U11" s="9">
        <f>_xlfn.XLOOKUP($D11,'[11]6 - Resultado'!$D$7:$D$24,'[11]6 - Resultado'!$I$7:$I$24,0)</f>
        <v>0</v>
      </c>
      <c r="V11" s="9">
        <f>_xlfn.XLOOKUP($D11,'[12]6 - Resultado'!$D$7:$D$24,'[12]6 - Resultado'!$I$7:$I$24,0)</f>
        <v>1</v>
      </c>
      <c r="W11" s="9">
        <f>_xlfn.XLOOKUP($D11,'[13]6 - Resultado'!$D$7:$D$27,'[13]6 - Resultado'!$I$7:$I$27,0)</f>
        <v>3</v>
      </c>
      <c r="X11" s="9">
        <f>_xlfn.XLOOKUP($D11,'[16]6 - Resultado'!$D$7:$D$27,'[16]6 - Resultado'!$I$7:$I$27,0)</f>
        <v>1</v>
      </c>
      <c r="Y11" s="30">
        <f>(MODELO!D10*I11)*1.94</f>
        <v>118756.8284</v>
      </c>
      <c r="Z11" s="13">
        <f t="shared" si="1"/>
        <v>1425081.9408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s="7" customFormat="1" ht="27.6" x14ac:dyDescent="0.3">
      <c r="A12" s="6"/>
      <c r="C12" s="9">
        <v>9</v>
      </c>
      <c r="D12" s="10" t="s">
        <v>25</v>
      </c>
      <c r="E12" s="10" t="s">
        <v>26</v>
      </c>
      <c r="F12" s="11">
        <v>30001</v>
      </c>
      <c r="G12" s="12" t="s">
        <v>9</v>
      </c>
      <c r="H12" s="10" t="s">
        <v>10</v>
      </c>
      <c r="I12" s="31">
        <f t="shared" si="0"/>
        <v>17</v>
      </c>
      <c r="J12" s="9">
        <f>_xlfn.XLOOKUP(D12,'[1]6 - Resultado'!$D$7:$D$27,'[1]6 - Resultado'!$I$7:$I$27)</f>
        <v>4</v>
      </c>
      <c r="K12" s="9">
        <f>_xlfn.XLOOKUP(D12,'[2]6 - Resultado'!$D$7:$D$27,'[2]6 - Resultado'!$I$7:$I$27,0)</f>
        <v>0</v>
      </c>
      <c r="L12" s="9">
        <f>_xlfn.XLOOKUP($D12,'[3]6 - Resultado'!$D$7:$D$24,'[3]6 - Resultado'!$I$7:$I$24,0)</f>
        <v>1</v>
      </c>
      <c r="M12" s="9">
        <f>_xlfn.XLOOKUP($D12,'[4]6 - Resultado'!$D$7:$D$24,'[4]6 - Resultado'!$I$7:$I$24,0)</f>
        <v>0</v>
      </c>
      <c r="N12" s="9">
        <f>_xlfn.XLOOKUP($D12,'[5]6 - Resultado'!$D$7:$D$24,'[5]6 - Resultado'!$I$7:$I$24,0)</f>
        <v>0</v>
      </c>
      <c r="O12" s="9">
        <f>_xlfn.XLOOKUP($D12,'[6]6 - Resultado'!$D$7:$D$24,'[6]6 - Resultado'!$I$7:$I$24,0)</f>
        <v>0</v>
      </c>
      <c r="P12" s="9">
        <f>_xlfn.XLOOKUP($D12,'[7]6 - Resultado'!$D$7:$D$24,'[7]6 - Resultado'!$I$7:$I$24,0)</f>
        <v>0</v>
      </c>
      <c r="Q12" s="9">
        <f>_xlfn.XLOOKUP($D12,'[8]6 - Resultado'!$D$7:$D$24,'[8]6 - Resultado'!$I$7:$I$24,0)</f>
        <v>0</v>
      </c>
      <c r="R12" s="9">
        <f>_xlfn.XLOOKUP($D12,'[9]6 - Resultado'!$D$7:$D$24,'[9]6 - Resultado'!$I$7:$I$24,0)</f>
        <v>0</v>
      </c>
      <c r="S12" s="9">
        <f>_xlfn.XLOOKUP($D12,'[15]6 - Resultado'!$D$7:$D$27,'[15]6 - Resultado'!$I$7:$I$27,0)</f>
        <v>12</v>
      </c>
      <c r="T12" s="9">
        <f>_xlfn.XLOOKUP($D12,'[10]6 - Resultado'!$D$7:$D$24,'[10]6 - Resultado'!$I$7:$I$24,0)</f>
        <v>0</v>
      </c>
      <c r="U12" s="9">
        <f>_xlfn.XLOOKUP($D12,'[11]6 - Resultado'!$D$7:$D$24,'[11]6 - Resultado'!$I$7:$I$24,0)</f>
        <v>0</v>
      </c>
      <c r="V12" s="9">
        <f>_xlfn.XLOOKUP($D12,'[12]6 - Resultado'!$D$7:$D$24,'[12]6 - Resultado'!$I$7:$I$24,0)</f>
        <v>0</v>
      </c>
      <c r="W12" s="9">
        <f>_xlfn.XLOOKUP($D12,'[13]6 - Resultado'!$D$7:$D$27,'[13]6 - Resultado'!$I$7:$I$27,0)</f>
        <v>0</v>
      </c>
      <c r="X12" s="9">
        <f>_xlfn.XLOOKUP($D12,'[16]6 - Resultado'!$D$7:$D$27,'[16]6 - Resultado'!$I$7:$I$27,0)</f>
        <v>0</v>
      </c>
      <c r="Y12" s="30">
        <f>(MODELO!D11*I12)*1.94</f>
        <v>370297.13140000001</v>
      </c>
      <c r="Z12" s="13">
        <f t="shared" si="1"/>
        <v>4443565.5767999999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s="7" customFormat="1" ht="27.6" x14ac:dyDescent="0.3">
      <c r="A13" s="6"/>
      <c r="C13" s="9">
        <v>10</v>
      </c>
      <c r="D13" s="10" t="s">
        <v>27</v>
      </c>
      <c r="E13" s="10" t="s">
        <v>28</v>
      </c>
      <c r="F13" s="11">
        <v>30001</v>
      </c>
      <c r="G13" s="12" t="s">
        <v>9</v>
      </c>
      <c r="H13" s="10" t="s">
        <v>10</v>
      </c>
      <c r="I13" s="31">
        <f t="shared" si="0"/>
        <v>1</v>
      </c>
      <c r="J13" s="9">
        <f>_xlfn.XLOOKUP(D13,'[1]6 - Resultado'!$D$7:$D$27,'[1]6 - Resultado'!$I$7:$I$27)</f>
        <v>0</v>
      </c>
      <c r="K13" s="9">
        <f>_xlfn.XLOOKUP(D13,'[2]6 - Resultado'!$D$7:$D$27,'[2]6 - Resultado'!$I$7:$I$27,0)</f>
        <v>0</v>
      </c>
      <c r="L13" s="9">
        <f>_xlfn.XLOOKUP($D13,'[3]6 - Resultado'!$D$7:$D$24,'[3]6 - Resultado'!$I$7:$I$24,0)</f>
        <v>0</v>
      </c>
      <c r="M13" s="9">
        <f>_xlfn.XLOOKUP($D13,'[4]6 - Resultado'!$D$7:$D$24,'[4]6 - Resultado'!$I$7:$I$24,0)</f>
        <v>0</v>
      </c>
      <c r="N13" s="9">
        <f>_xlfn.XLOOKUP($D13,'[5]6 - Resultado'!$D$7:$D$24,'[5]6 - Resultado'!$I$7:$I$24,0)</f>
        <v>0</v>
      </c>
      <c r="O13" s="9">
        <f>_xlfn.XLOOKUP($D13,'[6]6 - Resultado'!$D$7:$D$24,'[6]6 - Resultado'!$I$7:$I$24,0)</f>
        <v>0</v>
      </c>
      <c r="P13" s="9">
        <f>_xlfn.XLOOKUP($D13,'[7]6 - Resultado'!$D$7:$D$24,'[7]6 - Resultado'!$I$7:$I$24,0)</f>
        <v>1</v>
      </c>
      <c r="Q13" s="9">
        <f>_xlfn.XLOOKUP($D13,'[8]6 - Resultado'!$D$7:$D$24,'[8]6 - Resultado'!$I$7:$I$24,0)</f>
        <v>0</v>
      </c>
      <c r="R13" s="9">
        <f>_xlfn.XLOOKUP($D13,'[9]6 - Resultado'!$D$7:$D$24,'[9]6 - Resultado'!$I$7:$I$24,0)</f>
        <v>0</v>
      </c>
      <c r="S13" s="9">
        <f>_xlfn.XLOOKUP($D13,'[15]6 - Resultado'!$D$7:$D$27,'[15]6 - Resultado'!$I$7:$I$27,0)</f>
        <v>0</v>
      </c>
      <c r="T13" s="9">
        <f>_xlfn.XLOOKUP($D13,'[10]6 - Resultado'!$D$7:$D$24,'[10]6 - Resultado'!$I$7:$I$24,0)</f>
        <v>0</v>
      </c>
      <c r="U13" s="9">
        <f>_xlfn.XLOOKUP($D13,'[11]6 - Resultado'!$D$7:$D$24,'[11]6 - Resultado'!$I$7:$I$24,0)</f>
        <v>0</v>
      </c>
      <c r="V13" s="9">
        <f>_xlfn.XLOOKUP($D13,'[12]6 - Resultado'!$D$7:$D$24,'[12]6 - Resultado'!$I$7:$I$24,0)</f>
        <v>0</v>
      </c>
      <c r="W13" s="9">
        <f>_xlfn.XLOOKUP($D13,'[13]6 - Resultado'!$D$7:$D$27,'[13]6 - Resultado'!$I$7:$I$27,0)</f>
        <v>0</v>
      </c>
      <c r="X13" s="9">
        <f>_xlfn.XLOOKUP($D13,'[16]6 - Resultado'!$D$7:$D$27,'[16]6 - Resultado'!$I$7:$I$27,0)</f>
        <v>0</v>
      </c>
      <c r="Y13" s="30">
        <f>(MODELO!D12*I13)*1.94</f>
        <v>13096.241599999999</v>
      </c>
      <c r="Z13" s="13">
        <f t="shared" si="1"/>
        <v>157154.89919999999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s="7" customFormat="1" ht="27.6" x14ac:dyDescent="0.3">
      <c r="A14" s="6"/>
      <c r="C14" s="9">
        <v>11</v>
      </c>
      <c r="D14" s="10" t="s">
        <v>29</v>
      </c>
      <c r="E14" s="10" t="s">
        <v>30</v>
      </c>
      <c r="F14" s="11">
        <v>30001</v>
      </c>
      <c r="G14" s="12" t="s">
        <v>9</v>
      </c>
      <c r="H14" s="10" t="s">
        <v>10</v>
      </c>
      <c r="I14" s="31">
        <f t="shared" si="0"/>
        <v>0</v>
      </c>
      <c r="J14" s="9">
        <f>_xlfn.XLOOKUP(D14,'[1]6 - Resultado'!$D$7:$D$27,'[1]6 - Resultado'!$I$7:$I$27)</f>
        <v>0</v>
      </c>
      <c r="K14" s="9">
        <f>_xlfn.XLOOKUP(D14,'[2]6 - Resultado'!$D$7:$D$27,'[2]6 - Resultado'!$I$7:$I$27,0)</f>
        <v>0</v>
      </c>
      <c r="L14" s="9">
        <f>_xlfn.XLOOKUP($D14,'[3]6 - Resultado'!$D$7:$D$24,'[3]6 - Resultado'!$I$7:$I$24,0)</f>
        <v>0</v>
      </c>
      <c r="M14" s="9">
        <f>_xlfn.XLOOKUP($D14,'[4]6 - Resultado'!$D$7:$D$24,'[4]6 - Resultado'!$I$7:$I$24,0)</f>
        <v>0</v>
      </c>
      <c r="N14" s="9">
        <f>_xlfn.XLOOKUP($D14,'[5]6 - Resultado'!$D$7:$D$24,'[5]6 - Resultado'!$I$7:$I$24,0)</f>
        <v>0</v>
      </c>
      <c r="O14" s="9">
        <f>_xlfn.XLOOKUP($D14,'[6]6 - Resultado'!$D$7:$D$24,'[6]6 - Resultado'!$I$7:$I$24,0)</f>
        <v>0</v>
      </c>
      <c r="P14" s="9">
        <f>_xlfn.XLOOKUP($D14,'[7]6 - Resultado'!$D$7:$D$24,'[7]6 - Resultado'!$I$7:$I$24,0)</f>
        <v>0</v>
      </c>
      <c r="Q14" s="9">
        <f>_xlfn.XLOOKUP($D14,'[8]6 - Resultado'!$D$7:$D$24,'[8]6 - Resultado'!$I$7:$I$24,0)</f>
        <v>0</v>
      </c>
      <c r="R14" s="9">
        <f>_xlfn.XLOOKUP($D14,'[9]6 - Resultado'!$D$7:$D$24,'[9]6 - Resultado'!$I$7:$I$24,0)</f>
        <v>0</v>
      </c>
      <c r="S14" s="9">
        <f>_xlfn.XLOOKUP($D14,'[15]6 - Resultado'!$D$7:$D$27,'[15]6 - Resultado'!$I$7:$I$27,0)</f>
        <v>0</v>
      </c>
      <c r="T14" s="9">
        <f>_xlfn.XLOOKUP($D14,'[10]6 - Resultado'!$D$7:$D$24,'[10]6 - Resultado'!$I$7:$I$24,0)</f>
        <v>0</v>
      </c>
      <c r="U14" s="9">
        <f>_xlfn.XLOOKUP($D14,'[11]6 - Resultado'!$D$7:$D$24,'[11]6 - Resultado'!$I$7:$I$24,0)</f>
        <v>0</v>
      </c>
      <c r="V14" s="9">
        <f>_xlfn.XLOOKUP($D14,'[12]6 - Resultado'!$D$7:$D$24,'[12]6 - Resultado'!$I$7:$I$24,0)</f>
        <v>0</v>
      </c>
      <c r="W14" s="9">
        <f>_xlfn.XLOOKUP($D14,'[13]6 - Resultado'!$D$7:$D$27,'[13]6 - Resultado'!$I$7:$I$27,0)</f>
        <v>0</v>
      </c>
      <c r="X14" s="9">
        <f>_xlfn.XLOOKUP($D14,'[16]6 - Resultado'!$D$7:$D$27,'[16]6 - Resultado'!$I$7:$I$27,0)</f>
        <v>0</v>
      </c>
      <c r="Y14" s="30">
        <f>(MODELO!D13*I14)*1.94</f>
        <v>0</v>
      </c>
      <c r="Z14" s="13">
        <f t="shared" si="1"/>
        <v>0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s="7" customFormat="1" ht="27.6" x14ac:dyDescent="0.3">
      <c r="A15" s="6"/>
      <c r="C15" s="9">
        <v>12</v>
      </c>
      <c r="D15" s="10" t="s">
        <v>31</v>
      </c>
      <c r="E15" s="10" t="s">
        <v>32</v>
      </c>
      <c r="F15" s="11">
        <v>30001</v>
      </c>
      <c r="G15" s="12" t="s">
        <v>9</v>
      </c>
      <c r="H15" s="10" t="s">
        <v>10</v>
      </c>
      <c r="I15" s="31">
        <f t="shared" si="0"/>
        <v>1</v>
      </c>
      <c r="J15" s="9">
        <f>_xlfn.XLOOKUP(D15,'[1]6 - Resultado'!$D$7:$D$27,'[1]6 - Resultado'!$I$7:$I$27)</f>
        <v>0</v>
      </c>
      <c r="K15" s="9">
        <f>_xlfn.XLOOKUP(D15,'[2]6 - Resultado'!$D$7:$D$27,'[2]6 - Resultado'!$I$7:$I$27,0)</f>
        <v>0</v>
      </c>
      <c r="L15" s="9">
        <f>_xlfn.XLOOKUP($D15,'[3]6 - Resultado'!$D$7:$D$24,'[3]6 - Resultado'!$I$7:$I$24,0)</f>
        <v>0</v>
      </c>
      <c r="M15" s="9">
        <f>_xlfn.XLOOKUP($D15,'[4]6 - Resultado'!$D$7:$D$24,'[4]6 - Resultado'!$I$7:$I$24,0)</f>
        <v>0</v>
      </c>
      <c r="N15" s="9">
        <f>_xlfn.XLOOKUP($D15,'[5]6 - Resultado'!$D$7:$D$24,'[5]6 - Resultado'!$I$7:$I$24,0)</f>
        <v>0</v>
      </c>
      <c r="O15" s="9">
        <f>_xlfn.XLOOKUP($D15,'[6]6 - Resultado'!$D$7:$D$24,'[6]6 - Resultado'!$I$7:$I$24,0)</f>
        <v>0</v>
      </c>
      <c r="P15" s="9">
        <f>_xlfn.XLOOKUP($D15,'[7]6 - Resultado'!$D$7:$D$24,'[7]6 - Resultado'!$I$7:$I$24,0)</f>
        <v>0</v>
      </c>
      <c r="Q15" s="9">
        <f>_xlfn.XLOOKUP($D15,'[8]6 - Resultado'!$D$7:$D$24,'[8]6 - Resultado'!$I$7:$I$24,0)</f>
        <v>0</v>
      </c>
      <c r="R15" s="9">
        <f>_xlfn.XLOOKUP($D15,'[9]6 - Resultado'!$D$7:$D$24,'[9]6 - Resultado'!$I$7:$I$24,0)</f>
        <v>0</v>
      </c>
      <c r="S15" s="9">
        <f>_xlfn.XLOOKUP($D15,'[15]6 - Resultado'!$D$7:$D$27,'[15]6 - Resultado'!$I$7:$I$27,0)</f>
        <v>1</v>
      </c>
      <c r="T15" s="9">
        <f>_xlfn.XLOOKUP($D15,'[10]6 - Resultado'!$D$7:$D$24,'[10]6 - Resultado'!$I$7:$I$24,0)</f>
        <v>0</v>
      </c>
      <c r="U15" s="9">
        <f>_xlfn.XLOOKUP($D15,'[11]6 - Resultado'!$D$7:$D$24,'[11]6 - Resultado'!$I$7:$I$24,0)</f>
        <v>0</v>
      </c>
      <c r="V15" s="9">
        <f>_xlfn.XLOOKUP($D15,'[12]6 - Resultado'!$D$7:$D$24,'[12]6 - Resultado'!$I$7:$I$24,0)</f>
        <v>0</v>
      </c>
      <c r="W15" s="9">
        <f>_xlfn.XLOOKUP($D15,'[13]6 - Resultado'!$D$7:$D$27,'[13]6 - Resultado'!$I$7:$I$27,0)</f>
        <v>0</v>
      </c>
      <c r="X15" s="9">
        <f>_xlfn.XLOOKUP($D15,'[16]6 - Resultado'!$D$7:$D$27,'[16]6 - Resultado'!$I$7:$I$27,0)</f>
        <v>0</v>
      </c>
      <c r="Y15" s="30">
        <f>(MODELO!D14*I15)*1.94</f>
        <v>26184.548600000002</v>
      </c>
      <c r="Z15" s="13">
        <f t="shared" si="1"/>
        <v>314214.58319999999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s="7" customFormat="1" ht="27.6" x14ac:dyDescent="0.3">
      <c r="A16" s="6"/>
      <c r="C16" s="9">
        <v>13</v>
      </c>
      <c r="D16" s="10" t="s">
        <v>33</v>
      </c>
      <c r="E16" s="10" t="s">
        <v>34</v>
      </c>
      <c r="F16" s="11">
        <v>30001</v>
      </c>
      <c r="G16" s="12" t="s">
        <v>9</v>
      </c>
      <c r="H16" s="10" t="s">
        <v>10</v>
      </c>
      <c r="I16" s="31">
        <f t="shared" si="0"/>
        <v>0</v>
      </c>
      <c r="J16" s="9">
        <f>_xlfn.XLOOKUP(D16,'[1]6 - Resultado'!$D$7:$D$27,'[1]6 - Resultado'!$I$7:$I$27)</f>
        <v>0</v>
      </c>
      <c r="K16" s="9">
        <f>_xlfn.XLOOKUP(D16,'[2]6 - Resultado'!$D$7:$D$27,'[2]6 - Resultado'!$I$7:$I$27,0)</f>
        <v>0</v>
      </c>
      <c r="L16" s="9">
        <f>_xlfn.XLOOKUP($D16,'[3]6 - Resultado'!$D$7:$D$24,'[3]6 - Resultado'!$I$7:$I$24,0)</f>
        <v>0</v>
      </c>
      <c r="M16" s="9">
        <f>_xlfn.XLOOKUP($D16,'[4]6 - Resultado'!$D$7:$D$24,'[4]6 - Resultado'!$I$7:$I$24,0)</f>
        <v>0</v>
      </c>
      <c r="N16" s="9">
        <f>_xlfn.XLOOKUP($D16,'[5]6 - Resultado'!$D$7:$D$24,'[5]6 - Resultado'!$I$7:$I$24,0)</f>
        <v>0</v>
      </c>
      <c r="O16" s="9">
        <f>_xlfn.XLOOKUP($D16,'[6]6 - Resultado'!$D$7:$D$24,'[6]6 - Resultado'!$I$7:$I$24,0)</f>
        <v>0</v>
      </c>
      <c r="P16" s="9">
        <f>_xlfn.XLOOKUP($D16,'[7]6 - Resultado'!$D$7:$D$24,'[7]6 - Resultado'!$I$7:$I$24,0)</f>
        <v>0</v>
      </c>
      <c r="Q16" s="9">
        <f>_xlfn.XLOOKUP($D16,'[8]6 - Resultado'!$D$7:$D$24,'[8]6 - Resultado'!$I$7:$I$24,0)</f>
        <v>0</v>
      </c>
      <c r="R16" s="9">
        <f>_xlfn.XLOOKUP($D16,'[9]6 - Resultado'!$D$7:$D$24,'[9]6 - Resultado'!$I$7:$I$24,0)</f>
        <v>0</v>
      </c>
      <c r="S16" s="9">
        <f>_xlfn.XLOOKUP($D16,'[15]6 - Resultado'!$D$7:$D$27,'[15]6 - Resultado'!$I$7:$I$27,0)</f>
        <v>0</v>
      </c>
      <c r="T16" s="9">
        <f>_xlfn.XLOOKUP($D16,'[10]6 - Resultado'!$D$7:$D$24,'[10]6 - Resultado'!$I$7:$I$24,0)</f>
        <v>0</v>
      </c>
      <c r="U16" s="9">
        <f>_xlfn.XLOOKUP($D16,'[11]6 - Resultado'!$D$7:$D$24,'[11]6 - Resultado'!$I$7:$I$24,0)</f>
        <v>0</v>
      </c>
      <c r="V16" s="9">
        <f>_xlfn.XLOOKUP($D16,'[12]6 - Resultado'!$D$7:$D$24,'[12]6 - Resultado'!$I$7:$I$24,0)</f>
        <v>0</v>
      </c>
      <c r="W16" s="9">
        <f>_xlfn.XLOOKUP($D16,'[13]6 - Resultado'!$D$7:$D$27,'[13]6 - Resultado'!$I$7:$I$27,0)</f>
        <v>0</v>
      </c>
      <c r="X16" s="9">
        <f>_xlfn.XLOOKUP($D16,'[16]6 - Resultado'!$D$7:$D$27,'[16]6 - Resultado'!$I$7:$I$27,0)</f>
        <v>0</v>
      </c>
      <c r="Y16" s="30">
        <f>(MODELO!D15*I16)*1.94</f>
        <v>0</v>
      </c>
      <c r="Z16" s="13">
        <f t="shared" si="1"/>
        <v>0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s="7" customFormat="1" ht="27.6" x14ac:dyDescent="0.3">
      <c r="A17" s="6"/>
      <c r="C17" s="9">
        <v>14</v>
      </c>
      <c r="D17" s="10" t="s">
        <v>35</v>
      </c>
      <c r="E17" s="10" t="s">
        <v>36</v>
      </c>
      <c r="F17" s="11">
        <v>30001</v>
      </c>
      <c r="G17" s="12" t="s">
        <v>9</v>
      </c>
      <c r="H17" s="10" t="s">
        <v>10</v>
      </c>
      <c r="I17" s="31">
        <f t="shared" si="0"/>
        <v>1</v>
      </c>
      <c r="J17" s="9">
        <f>_xlfn.XLOOKUP(D17,'[1]6 - Resultado'!$D$7:$D$27,'[1]6 - Resultado'!$I$7:$I$27)</f>
        <v>0</v>
      </c>
      <c r="K17" s="9">
        <f>_xlfn.XLOOKUP(D17,'[2]6 - Resultado'!$D$7:$D$27,'[2]6 - Resultado'!$I$7:$I$27,0)</f>
        <v>0</v>
      </c>
      <c r="L17" s="9">
        <f>_xlfn.XLOOKUP($D17,'[3]6 - Resultado'!$D$7:$D$24,'[3]6 - Resultado'!$I$7:$I$24,0)</f>
        <v>0</v>
      </c>
      <c r="M17" s="9">
        <f>_xlfn.XLOOKUP($D17,'[4]6 - Resultado'!$D$7:$D$24,'[4]6 - Resultado'!$I$7:$I$24,0)</f>
        <v>0</v>
      </c>
      <c r="N17" s="9">
        <f>_xlfn.XLOOKUP($D17,'[5]6 - Resultado'!$D$7:$D$24,'[5]6 - Resultado'!$I$7:$I$24,0)</f>
        <v>0</v>
      </c>
      <c r="O17" s="9">
        <f>_xlfn.XLOOKUP($D17,'[6]6 - Resultado'!$D$7:$D$24,'[6]6 - Resultado'!$I$7:$I$24,0)</f>
        <v>0</v>
      </c>
      <c r="P17" s="9">
        <f>_xlfn.XLOOKUP($D17,'[7]6 - Resultado'!$D$7:$D$24,'[7]6 - Resultado'!$I$7:$I$24,0)</f>
        <v>0</v>
      </c>
      <c r="Q17" s="9">
        <f>_xlfn.XLOOKUP($D17,'[8]6 - Resultado'!$D$7:$D$24,'[8]6 - Resultado'!$I$7:$I$24,0)</f>
        <v>0</v>
      </c>
      <c r="R17" s="9">
        <f>_xlfn.XLOOKUP($D17,'[9]6 - Resultado'!$D$7:$D$24,'[9]6 - Resultado'!$I$7:$I$24,0)</f>
        <v>0</v>
      </c>
      <c r="S17" s="9">
        <f>_xlfn.XLOOKUP($D17,'[15]6 - Resultado'!$D$7:$D$27,'[15]6 - Resultado'!$I$7:$I$27,0)</f>
        <v>1</v>
      </c>
      <c r="T17" s="9">
        <f>_xlfn.XLOOKUP($D17,'[10]6 - Resultado'!$D$7:$D$24,'[10]6 - Resultado'!$I$7:$I$24,0)</f>
        <v>0</v>
      </c>
      <c r="U17" s="9">
        <f>_xlfn.XLOOKUP($D17,'[11]6 - Resultado'!$D$7:$D$24,'[11]6 - Resultado'!$I$7:$I$24,0)</f>
        <v>0</v>
      </c>
      <c r="V17" s="9">
        <f>_xlfn.XLOOKUP($D17,'[12]6 - Resultado'!$D$7:$D$24,'[12]6 - Resultado'!$I$7:$I$24,0)</f>
        <v>0</v>
      </c>
      <c r="W17" s="9">
        <f>_xlfn.XLOOKUP($D17,'[13]6 - Resultado'!$D$7:$D$27,'[13]6 - Resultado'!$I$7:$I$27,0)</f>
        <v>0</v>
      </c>
      <c r="X17" s="9">
        <f>_xlfn.XLOOKUP($D17,'[16]6 - Resultado'!$D$7:$D$27,'[16]6 - Resultado'!$I$7:$I$27,0)</f>
        <v>0</v>
      </c>
      <c r="Y17" s="30">
        <f>(MODELO!D16*I17)*1.94</f>
        <v>23504.031199999998</v>
      </c>
      <c r="Z17" s="13">
        <f t="shared" si="1"/>
        <v>282048.37439999997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s="7" customFormat="1" ht="27.6" x14ac:dyDescent="0.3">
      <c r="A18" s="6"/>
      <c r="C18" s="9">
        <v>15</v>
      </c>
      <c r="D18" s="10" t="s">
        <v>37</v>
      </c>
      <c r="E18" s="10" t="s">
        <v>38</v>
      </c>
      <c r="F18" s="11">
        <v>30001</v>
      </c>
      <c r="G18" s="12" t="s">
        <v>9</v>
      </c>
      <c r="H18" s="10" t="s">
        <v>10</v>
      </c>
      <c r="I18" s="31">
        <f t="shared" si="0"/>
        <v>6</v>
      </c>
      <c r="J18" s="9">
        <f>_xlfn.XLOOKUP(D18,'[1]6 - Resultado'!$D$7:$D$27,'[1]6 - Resultado'!$I$7:$I$27)</f>
        <v>2</v>
      </c>
      <c r="K18" s="9">
        <f>_xlfn.XLOOKUP(D18,'[2]6 - Resultado'!$D$7:$D$27,'[2]6 - Resultado'!$I$7:$I$27,0)</f>
        <v>0</v>
      </c>
      <c r="L18" s="9">
        <f>_xlfn.XLOOKUP($D18,'[3]6 - Resultado'!$D$7:$D$24,'[3]6 - Resultado'!$I$7:$I$24,0)</f>
        <v>1</v>
      </c>
      <c r="M18" s="9">
        <f>_xlfn.XLOOKUP($D18,'[4]6 - Resultado'!$D$7:$D$24,'[4]6 - Resultado'!$I$7:$I$24,0)</f>
        <v>0</v>
      </c>
      <c r="N18" s="9">
        <f>_xlfn.XLOOKUP($D18,'[5]6 - Resultado'!$D$7:$D$24,'[5]6 - Resultado'!$I$7:$I$24,0)</f>
        <v>0</v>
      </c>
      <c r="O18" s="9">
        <f>_xlfn.XLOOKUP($D18,'[6]6 - Resultado'!$D$7:$D$24,'[6]6 - Resultado'!$I$7:$I$24,0)</f>
        <v>0</v>
      </c>
      <c r="P18" s="9">
        <f>_xlfn.XLOOKUP($D18,'[7]6 - Resultado'!$D$7:$D$24,'[7]6 - Resultado'!$I$7:$I$24,0)</f>
        <v>0</v>
      </c>
      <c r="Q18" s="9">
        <f>_xlfn.XLOOKUP($D18,'[8]6 - Resultado'!$D$7:$D$24,'[8]6 - Resultado'!$I$7:$I$24,0)</f>
        <v>0</v>
      </c>
      <c r="R18" s="9">
        <f>_xlfn.XLOOKUP($D18,'[9]6 - Resultado'!$D$7:$D$24,'[9]6 - Resultado'!$I$7:$I$24,0)</f>
        <v>0</v>
      </c>
      <c r="S18" s="9">
        <f>_xlfn.XLOOKUP($D18,'[15]6 - Resultado'!$D$7:$D$27,'[15]6 - Resultado'!$I$7:$I$27,0)</f>
        <v>2</v>
      </c>
      <c r="T18" s="9">
        <f>_xlfn.XLOOKUP($D18,'[10]6 - Resultado'!$D$7:$D$24,'[10]6 - Resultado'!$I$7:$I$24,0)</f>
        <v>0</v>
      </c>
      <c r="U18" s="9">
        <f>_xlfn.XLOOKUP($D18,'[11]6 - Resultado'!$D$7:$D$24,'[11]6 - Resultado'!$I$7:$I$24,0)</f>
        <v>0</v>
      </c>
      <c r="V18" s="9">
        <f>_xlfn.XLOOKUP($D18,'[12]6 - Resultado'!$D$7:$D$24,'[12]6 - Resultado'!$I$7:$I$24,0)</f>
        <v>0</v>
      </c>
      <c r="W18" s="9">
        <f>_xlfn.XLOOKUP($D18,'[13]6 - Resultado'!$D$7:$D$27,'[13]6 - Resultado'!$I$7:$I$27,0)</f>
        <v>0</v>
      </c>
      <c r="X18" s="9">
        <f>_xlfn.XLOOKUP($D18,'[16]6 - Resultado'!$D$7:$D$27,'[16]6 - Resultado'!$I$7:$I$27,0)</f>
        <v>1</v>
      </c>
      <c r="Y18" s="30">
        <f>(MODELO!D17*I18)*1.94</f>
        <v>136562.80800000002</v>
      </c>
      <c r="Z18" s="13">
        <f t="shared" si="1"/>
        <v>1638753.6960000002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s="7" customFormat="1" ht="27.6" x14ac:dyDescent="0.3">
      <c r="A19" s="6"/>
      <c r="C19" s="9">
        <v>16</v>
      </c>
      <c r="D19" s="10" t="s">
        <v>39</v>
      </c>
      <c r="E19" s="10" t="s">
        <v>40</v>
      </c>
      <c r="F19" s="11">
        <v>30001</v>
      </c>
      <c r="G19" s="12" t="s">
        <v>9</v>
      </c>
      <c r="H19" s="10" t="s">
        <v>10</v>
      </c>
      <c r="I19" s="31">
        <f t="shared" si="0"/>
        <v>2</v>
      </c>
      <c r="J19" s="9">
        <f>_xlfn.XLOOKUP(D19,'[1]6 - Resultado'!$D$7:$D$27,'[1]6 - Resultado'!$I$7:$I$27)</f>
        <v>1</v>
      </c>
      <c r="K19" s="9">
        <f>_xlfn.XLOOKUP(D19,'[2]6 - Resultado'!$D$7:$D$27,'[2]6 - Resultado'!$I$7:$I$27,0)</f>
        <v>0</v>
      </c>
      <c r="L19" s="9">
        <f>_xlfn.XLOOKUP($D19,'[3]6 - Resultado'!$D$7:$D$24,'[3]6 - Resultado'!$I$7:$I$24,0)</f>
        <v>0</v>
      </c>
      <c r="M19" s="9">
        <f>_xlfn.XLOOKUP($D19,'[4]6 - Resultado'!$D$7:$D$24,'[4]6 - Resultado'!$I$7:$I$24,0)</f>
        <v>0</v>
      </c>
      <c r="N19" s="9">
        <f>_xlfn.XLOOKUP($D19,'[5]6 - Resultado'!$D$7:$D$24,'[5]6 - Resultado'!$I$7:$I$24,0)</f>
        <v>0</v>
      </c>
      <c r="O19" s="9">
        <f>_xlfn.XLOOKUP($D19,'[6]6 - Resultado'!$D$7:$D$24,'[6]6 - Resultado'!$I$7:$I$24,0)</f>
        <v>0</v>
      </c>
      <c r="P19" s="9">
        <f>_xlfn.XLOOKUP($D19,'[7]6 - Resultado'!$D$7:$D$24,'[7]6 - Resultado'!$I$7:$I$24,0)</f>
        <v>0</v>
      </c>
      <c r="Q19" s="9">
        <f>_xlfn.XLOOKUP($D19,'[8]6 - Resultado'!$D$7:$D$24,'[8]6 - Resultado'!$I$7:$I$24,0)</f>
        <v>0</v>
      </c>
      <c r="R19" s="9">
        <f>_xlfn.XLOOKUP($D19,'[9]6 - Resultado'!$D$7:$D$24,'[9]6 - Resultado'!$I$7:$I$24,0)</f>
        <v>0</v>
      </c>
      <c r="S19" s="9">
        <f>_xlfn.XLOOKUP($D19,'[15]6 - Resultado'!$D$7:$D$27,'[15]6 - Resultado'!$I$7:$I$27,0)</f>
        <v>1</v>
      </c>
      <c r="T19" s="9">
        <f>_xlfn.XLOOKUP($D19,'[10]6 - Resultado'!$D$7:$D$24,'[10]6 - Resultado'!$I$7:$I$24,0)</f>
        <v>0</v>
      </c>
      <c r="U19" s="9">
        <f>_xlfn.XLOOKUP($D19,'[11]6 - Resultado'!$D$7:$D$24,'[11]6 - Resultado'!$I$7:$I$24,0)</f>
        <v>0</v>
      </c>
      <c r="V19" s="9">
        <f>_xlfn.XLOOKUP($D19,'[12]6 - Resultado'!$D$7:$D$24,'[12]6 - Resultado'!$I$7:$I$24,0)</f>
        <v>0</v>
      </c>
      <c r="W19" s="9">
        <f>_xlfn.XLOOKUP($D19,'[13]6 - Resultado'!$D$7:$D$27,'[13]6 - Resultado'!$I$7:$I$27,0)</f>
        <v>0</v>
      </c>
      <c r="X19" s="9">
        <f>_xlfn.XLOOKUP($D19,'[16]6 - Resultado'!$D$7:$D$27,'[16]6 - Resultado'!$I$7:$I$27,0)</f>
        <v>0</v>
      </c>
      <c r="Y19" s="30">
        <f>(MODELO!D18*I19)*1.94</f>
        <v>54124.525600000001</v>
      </c>
      <c r="Z19" s="13">
        <f t="shared" si="1"/>
        <v>649494.30720000004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s="7" customFormat="1" ht="27.6" x14ac:dyDescent="0.3">
      <c r="A20" s="6"/>
      <c r="C20" s="9">
        <v>17</v>
      </c>
      <c r="D20" s="10" t="s">
        <v>141</v>
      </c>
      <c r="E20" s="10" t="s">
        <v>72</v>
      </c>
      <c r="F20" s="11">
        <v>30001</v>
      </c>
      <c r="G20" s="12" t="s">
        <v>9</v>
      </c>
      <c r="H20" s="10" t="s">
        <v>10</v>
      </c>
      <c r="I20" s="31">
        <f t="shared" si="0"/>
        <v>2</v>
      </c>
      <c r="J20" s="9">
        <f>_xlfn.XLOOKUP(D20,'[1]6 - Resultado'!$D$7:$D$27,'[1]6 - Resultado'!$I$7:$I$27)</f>
        <v>0</v>
      </c>
      <c r="K20" s="9">
        <f>_xlfn.XLOOKUP(D20,'[2]6 - Resultado'!$D$7:$D$27,'[2]6 - Resultado'!$I$7:$I$27,0)</f>
        <v>0</v>
      </c>
      <c r="L20" s="9">
        <f>_xlfn.XLOOKUP($D20,'[3]6 - Resultado'!$D$7:$D$24,'[3]6 - Resultado'!$I$7:$I$24,0)</f>
        <v>0</v>
      </c>
      <c r="M20" s="9">
        <f>_xlfn.XLOOKUP($D20,'[4]6 - Resultado'!$D$7:$D$24,'[4]6 - Resultado'!$I$7:$I$24,0)</f>
        <v>0</v>
      </c>
      <c r="N20" s="9">
        <f>_xlfn.XLOOKUP($D20,'[5]6 - Resultado'!$D$7:$D$24,'[5]6 - Resultado'!$I$7:$I$24,0)</f>
        <v>0</v>
      </c>
      <c r="O20" s="9">
        <f>_xlfn.XLOOKUP($D20,'[6]6 - Resultado'!$D$7:$D$24,'[6]6 - Resultado'!$I$7:$I$24,0)</f>
        <v>0</v>
      </c>
      <c r="P20" s="9">
        <f>_xlfn.XLOOKUP($D20,'[7]6 - Resultado'!$D$7:$D$24,'[7]6 - Resultado'!$I$7:$I$24,0)</f>
        <v>0</v>
      </c>
      <c r="Q20" s="9">
        <f>_xlfn.XLOOKUP($D20,'[8]6 - Resultado'!$D$7:$D$24,'[8]6 - Resultado'!$I$7:$I$24,0)</f>
        <v>0</v>
      </c>
      <c r="R20" s="9">
        <f>_xlfn.XLOOKUP($D20,'[9]6 - Resultado'!$D$7:$D$24,'[9]6 - Resultado'!$I$7:$I$24,0)</f>
        <v>2</v>
      </c>
      <c r="S20" s="9">
        <f>_xlfn.XLOOKUP($D20,'[15]6 - Resultado'!$D$7:$D$27,'[15]6 - Resultado'!$I$7:$I$27,0)</f>
        <v>0</v>
      </c>
      <c r="T20" s="9">
        <f>_xlfn.XLOOKUP($D20,'[10]6 - Resultado'!$D$7:$D$24,'[10]6 - Resultado'!$I$7:$I$24,0)</f>
        <v>0</v>
      </c>
      <c r="U20" s="9">
        <f>_xlfn.XLOOKUP($D20,'[11]6 - Resultado'!$D$7:$D$24,'[11]6 - Resultado'!$I$7:$I$24,0)</f>
        <v>0</v>
      </c>
      <c r="V20" s="9">
        <f>_xlfn.XLOOKUP($D20,'[12]6 - Resultado'!$D$7:$D$24,'[12]6 - Resultado'!$I$7:$I$24,0)</f>
        <v>0</v>
      </c>
      <c r="W20" s="9">
        <f>_xlfn.XLOOKUP($D20,'[13]6 - Resultado'!$D$7:$D$27,'[13]6 - Resultado'!$I$7:$I$27,0)</f>
        <v>0</v>
      </c>
      <c r="X20" s="9">
        <f>_xlfn.XLOOKUP($D20,'[16]6 - Resultado'!$D$7:$D$27,'[16]6 - Resultado'!$I$7:$I$27,0)</f>
        <v>0</v>
      </c>
      <c r="Y20" s="30">
        <f>(MODELO!D19*I20)*1.94</f>
        <v>31483.833200000001</v>
      </c>
      <c r="Z20" s="13">
        <f t="shared" ref="Z20:Z24" si="2">Y20*12</f>
        <v>377805.99840000004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s="7" customFormat="1" ht="27.6" x14ac:dyDescent="0.3">
      <c r="A21" s="6"/>
      <c r="C21" s="9">
        <v>18</v>
      </c>
      <c r="D21" s="58" t="s">
        <v>142</v>
      </c>
      <c r="E21" s="10" t="s">
        <v>73</v>
      </c>
      <c r="F21" s="11">
        <v>30001</v>
      </c>
      <c r="G21" s="12" t="s">
        <v>9</v>
      </c>
      <c r="H21" s="10" t="s">
        <v>10</v>
      </c>
      <c r="I21" s="31">
        <f t="shared" si="0"/>
        <v>0</v>
      </c>
      <c r="J21" s="9">
        <f>_xlfn.XLOOKUP(D21,'[1]6 - Resultado'!$D$7:$D$27,'[1]6 - Resultado'!$I$7:$I$27)</f>
        <v>0</v>
      </c>
      <c r="K21" s="9">
        <f>_xlfn.XLOOKUP(D21,'[2]6 - Resultado'!$D$7:$D$27,'[2]6 - Resultado'!$I$7:$I$27,0)</f>
        <v>0</v>
      </c>
      <c r="L21" s="9">
        <f>_xlfn.XLOOKUP($D21,'[3]6 - Resultado'!$D$7:$D$24,'[3]6 - Resultado'!$I$7:$I$24,0)</f>
        <v>0</v>
      </c>
      <c r="M21" s="9">
        <f>_xlfn.XLOOKUP($D21,'[4]6 - Resultado'!$D$7:$D$24,'[4]6 - Resultado'!$I$7:$I$24,0)</f>
        <v>0</v>
      </c>
      <c r="N21" s="9">
        <f>_xlfn.XLOOKUP($D21,'[5]6 - Resultado'!$D$7:$D$24,'[5]6 - Resultado'!$I$7:$I$24,0)</f>
        <v>0</v>
      </c>
      <c r="O21" s="9">
        <f>_xlfn.XLOOKUP($D21,'[6]6 - Resultado'!$D$7:$D$24,'[6]6 - Resultado'!$I$7:$I$24,0)</f>
        <v>0</v>
      </c>
      <c r="P21" s="9">
        <f>_xlfn.XLOOKUP($D21,'[7]6 - Resultado'!$D$7:$D$24,'[7]6 - Resultado'!$I$7:$I$24,0)</f>
        <v>0</v>
      </c>
      <c r="Q21" s="9">
        <f>_xlfn.XLOOKUP($D21,'[8]6 - Resultado'!$D$7:$D$24,'[8]6 - Resultado'!$I$7:$I$24,0)</f>
        <v>0</v>
      </c>
      <c r="R21" s="9">
        <f>_xlfn.XLOOKUP($D21,'[9]6 - Resultado'!$D$7:$D$24,'[9]6 - Resultado'!$I$7:$I$24,0)</f>
        <v>0</v>
      </c>
      <c r="S21" s="9">
        <f>_xlfn.XLOOKUP($D21,'[15]6 - Resultado'!$D$7:$D$27,'[15]6 - Resultado'!$I$7:$I$27,0)</f>
        <v>0</v>
      </c>
      <c r="T21" s="9">
        <f>_xlfn.XLOOKUP($D21,'[10]6 - Resultado'!$D$7:$D$24,'[10]6 - Resultado'!$I$7:$I$24,0)</f>
        <v>0</v>
      </c>
      <c r="U21" s="9">
        <f>_xlfn.XLOOKUP($D21,'[11]6 - Resultado'!$D$7:$D$24,'[11]6 - Resultado'!$I$7:$I$24,0)</f>
        <v>0</v>
      </c>
      <c r="V21" s="9">
        <f>_xlfn.XLOOKUP($D21,'[12]6 - Resultado'!$D$7:$D$24,'[12]6 - Resultado'!$I$7:$I$24,0)</f>
        <v>0</v>
      </c>
      <c r="W21" s="9">
        <f>_xlfn.XLOOKUP($D21,'[13]6 - Resultado'!$D$7:$D$27,'[13]6 - Resultado'!$I$7:$I$27,0)</f>
        <v>0</v>
      </c>
      <c r="X21" s="9">
        <f>_xlfn.XLOOKUP($D21,'[16]6 - Resultado'!$D$7:$D$27,'[16]6 - Resultado'!$I$7:$I$27,0)</f>
        <v>0</v>
      </c>
      <c r="Y21" s="30">
        <f>(MODELO!D20*I21)*1.94</f>
        <v>0</v>
      </c>
      <c r="Z21" s="13">
        <f t="shared" si="2"/>
        <v>0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s="7" customFormat="1" ht="26.4" x14ac:dyDescent="0.3">
      <c r="A22" s="6"/>
      <c r="C22" s="9">
        <v>19</v>
      </c>
      <c r="D22" s="59" t="s">
        <v>42</v>
      </c>
      <c r="E22" s="21" t="s">
        <v>43</v>
      </c>
      <c r="F22" s="20">
        <v>26042</v>
      </c>
      <c r="G22" s="21" t="s">
        <v>44</v>
      </c>
      <c r="H22" s="21" t="s">
        <v>10</v>
      </c>
      <c r="I22" s="31">
        <f t="shared" si="0"/>
        <v>5</v>
      </c>
      <c r="J22" s="9">
        <f>_xlfn.XLOOKUP(D22,'[1]6 - Resultado'!$D$7:$D$27,'[1]6 - Resultado'!$I$7:$I$27)</f>
        <v>4</v>
      </c>
      <c r="K22" s="9">
        <f>_xlfn.XLOOKUP(D22,'[2]6 - Resultado'!$D$7:$D$27,'[2]6 - Resultado'!$I$7:$I$27,0)</f>
        <v>0</v>
      </c>
      <c r="L22" s="9">
        <f>_xlfn.XLOOKUP($D22,'[3]6 - Resultado'!$D$7:$D$24,'[3]6 - Resultado'!$I$7:$I$24,0)</f>
        <v>0</v>
      </c>
      <c r="M22" s="9">
        <f>_xlfn.XLOOKUP($D22,'[4]6 - Resultado'!$D$7:$D$24,'[4]6 - Resultado'!$I$7:$I$24,0)</f>
        <v>0</v>
      </c>
      <c r="N22" s="9">
        <f>_xlfn.XLOOKUP($D22,'[5]6 - Resultado'!$D$7:$D$24,'[5]6 - Resultado'!$I$7:$I$24,0)</f>
        <v>0</v>
      </c>
      <c r="O22" s="9">
        <f>_xlfn.XLOOKUP($D22,'[6]6 - Resultado'!$D$7:$D$24,'[6]6 - Resultado'!$I$7:$I$24,0)</f>
        <v>0</v>
      </c>
      <c r="P22" s="9">
        <f>_xlfn.XLOOKUP($D22,'[7]6 - Resultado'!$D$7:$D$24,'[7]6 - Resultado'!$I$7:$I$24,0)</f>
        <v>0</v>
      </c>
      <c r="Q22" s="9">
        <f>_xlfn.XLOOKUP($D22,'[8]6 - Resultado'!$D$7:$D$24,'[8]6 - Resultado'!$I$7:$I$24,0)</f>
        <v>0</v>
      </c>
      <c r="R22" s="9">
        <f>_xlfn.XLOOKUP($D22,'[9]6 - Resultado'!$D$7:$D$24,'[9]6 - Resultado'!$I$7:$I$24,0)</f>
        <v>0</v>
      </c>
      <c r="S22" s="9">
        <f>_xlfn.XLOOKUP($D22,'[15]6 - Resultado'!$D$7:$D$27,'[15]6 - Resultado'!$I$7:$I$27,0)</f>
        <v>0</v>
      </c>
      <c r="T22" s="9">
        <f>_xlfn.XLOOKUP($D22,'[10]6 - Resultado'!$D$7:$D$24,'[10]6 - Resultado'!$I$7:$I$24,0)</f>
        <v>0</v>
      </c>
      <c r="U22" s="9">
        <f>_xlfn.XLOOKUP($D22,'[11]6 - Resultado'!$D$7:$D$24,'[11]6 - Resultado'!$I$7:$I$24,0)</f>
        <v>0</v>
      </c>
      <c r="V22" s="9">
        <f>_xlfn.XLOOKUP($D22,'[12]6 - Resultado'!$D$7:$D$24,'[12]6 - Resultado'!$I$7:$I$24,0)</f>
        <v>0</v>
      </c>
      <c r="W22" s="9">
        <f>_xlfn.XLOOKUP($D22,'[13]6 - Resultado'!$D$7:$D$27,'[13]6 - Resultado'!$I$7:$I$27,0)</f>
        <v>0</v>
      </c>
      <c r="X22" s="9">
        <f>_xlfn.XLOOKUP($D22,'[16]6 - Resultado'!$D$7:$D$27,'[16]6 - Resultado'!$I$7:$I$27,0)</f>
        <v>1</v>
      </c>
      <c r="Y22" s="30">
        <f>(MODELO!D21*I22)*1.94</f>
        <v>52499.503999999994</v>
      </c>
      <c r="Z22" s="14">
        <f t="shared" si="2"/>
        <v>629994.04799999995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s="7" customFormat="1" ht="26.4" x14ac:dyDescent="0.3">
      <c r="A23" s="6"/>
      <c r="C23" s="9">
        <v>20</v>
      </c>
      <c r="D23" s="60" t="s">
        <v>45</v>
      </c>
      <c r="E23" s="23" t="s">
        <v>46</v>
      </c>
      <c r="F23" s="22">
        <v>26042</v>
      </c>
      <c r="G23" s="23" t="s">
        <v>44</v>
      </c>
      <c r="H23" s="23" t="s">
        <v>10</v>
      </c>
      <c r="I23" s="31">
        <f t="shared" si="0"/>
        <v>3</v>
      </c>
      <c r="J23" s="9">
        <f>_xlfn.XLOOKUP(D23,'[1]6 - Resultado'!$D$7:$D$27,'[1]6 - Resultado'!$I$7:$I$27)</f>
        <v>0</v>
      </c>
      <c r="K23" s="9">
        <f>_xlfn.XLOOKUP(D23,'[2]6 - Resultado'!$D$7:$D$27,'[2]6 - Resultado'!$I$7:$I$27,0)</f>
        <v>0</v>
      </c>
      <c r="L23" s="9">
        <f>_xlfn.XLOOKUP($D23,'[3]6 - Resultado'!$D$7:$D$24,'[3]6 - Resultado'!$I$7:$I$24,0)</f>
        <v>0</v>
      </c>
      <c r="M23" s="9">
        <f>_xlfn.XLOOKUP($D23,'[4]6 - Resultado'!$D$7:$D$24,'[4]6 - Resultado'!$I$7:$I$24,0)</f>
        <v>0</v>
      </c>
      <c r="N23" s="9">
        <f>_xlfn.XLOOKUP($D23,'[5]6 - Resultado'!$D$7:$D$24,'[5]6 - Resultado'!$I$7:$I$24,0)</f>
        <v>0</v>
      </c>
      <c r="O23" s="9">
        <f>_xlfn.XLOOKUP($D23,'[6]6 - Resultado'!$D$7:$D$24,'[6]6 - Resultado'!$I$7:$I$24,0)</f>
        <v>0</v>
      </c>
      <c r="P23" s="9">
        <f>_xlfn.XLOOKUP($D23,'[7]6 - Resultado'!$D$7:$D$24,'[7]6 - Resultado'!$I$7:$I$24,0)</f>
        <v>0</v>
      </c>
      <c r="Q23" s="9">
        <f>_xlfn.XLOOKUP($D23,'[8]6 - Resultado'!$D$7:$D$24,'[8]6 - Resultado'!$I$7:$I$24,0)</f>
        <v>0</v>
      </c>
      <c r="R23" s="9">
        <f>_xlfn.XLOOKUP($D23,'[9]6 - Resultado'!$D$7:$D$24,'[9]6 - Resultado'!$I$7:$I$24,0)</f>
        <v>0</v>
      </c>
      <c r="S23" s="9">
        <f>_xlfn.XLOOKUP($D23,'[15]6 - Resultado'!$D$7:$D$27,'[15]6 - Resultado'!$I$7:$I$27,0)</f>
        <v>0</v>
      </c>
      <c r="T23" s="9">
        <f>_xlfn.XLOOKUP($D23,'[10]6 - Resultado'!$D$7:$D$24,'[10]6 - Resultado'!$I$7:$I$24,0)</f>
        <v>0</v>
      </c>
      <c r="U23" s="9">
        <f>_xlfn.XLOOKUP($D23,'[11]6 - Resultado'!$D$7:$D$24,'[11]6 - Resultado'!$I$7:$I$24,0)</f>
        <v>0</v>
      </c>
      <c r="V23" s="9">
        <f>_xlfn.XLOOKUP($D23,'[12]6 - Resultado'!$D$7:$D$24,'[12]6 - Resultado'!$I$7:$I$24,0)</f>
        <v>0</v>
      </c>
      <c r="W23" s="9">
        <f>_xlfn.XLOOKUP($D23,'[13]6 - Resultado'!$D$7:$D$27,'[13]6 - Resultado'!$I$7:$I$27,0)</f>
        <v>3</v>
      </c>
      <c r="X23" s="9">
        <f>_xlfn.XLOOKUP($D23,'[16]6 - Resultado'!$D$7:$D$27,'[16]6 - Resultado'!$I$7:$I$27,0)</f>
        <v>0</v>
      </c>
      <c r="Y23" s="30">
        <f>(MODELO!D22*I23)*1.94</f>
        <v>45371.264999999999</v>
      </c>
      <c r="Z23" s="14">
        <f t="shared" si="2"/>
        <v>544455.17999999993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s="7" customFormat="1" ht="26.4" x14ac:dyDescent="0.3">
      <c r="A24" s="6"/>
      <c r="C24" s="9">
        <v>21</v>
      </c>
      <c r="D24" s="60" t="s">
        <v>47</v>
      </c>
      <c r="E24" s="23" t="s">
        <v>48</v>
      </c>
      <c r="F24" s="22">
        <v>26042</v>
      </c>
      <c r="G24" s="23" t="s">
        <v>44</v>
      </c>
      <c r="H24" s="23" t="s">
        <v>10</v>
      </c>
      <c r="I24" s="31">
        <f t="shared" si="0"/>
        <v>3</v>
      </c>
      <c r="J24" s="9">
        <f>_xlfn.XLOOKUP(D24,'[1]6 - Resultado'!$D$7:$D$27,'[1]6 - Resultado'!$I$7:$I$27)</f>
        <v>0</v>
      </c>
      <c r="K24" s="9">
        <f>_xlfn.XLOOKUP(D24,'[2]6 - Resultado'!$D$7:$D$27,'[2]6 - Resultado'!$I$7:$I$27,0)</f>
        <v>0</v>
      </c>
      <c r="L24" s="9">
        <f>_xlfn.XLOOKUP($D24,'[3]6 - Resultado'!$D$7:$D$24,'[3]6 - Resultado'!$I$7:$I$24,0)</f>
        <v>0</v>
      </c>
      <c r="M24" s="9">
        <f>_xlfn.XLOOKUP($D24,'[4]6 - Resultado'!$D$7:$D$24,'[4]6 - Resultado'!$I$7:$I$24,0)</f>
        <v>0</v>
      </c>
      <c r="N24" s="9">
        <f>_xlfn.XLOOKUP($D24,'[5]6 - Resultado'!$D$7:$D$24,'[5]6 - Resultado'!$I$7:$I$24,0)</f>
        <v>0</v>
      </c>
      <c r="O24" s="9">
        <f>_xlfn.XLOOKUP($D24,'[6]6 - Resultado'!$D$7:$D$24,'[6]6 - Resultado'!$I$7:$I$24,0)</f>
        <v>0</v>
      </c>
      <c r="P24" s="9">
        <f>_xlfn.XLOOKUP($D24,'[7]6 - Resultado'!$D$7:$D$24,'[7]6 - Resultado'!$I$7:$I$24,0)</f>
        <v>0</v>
      </c>
      <c r="Q24" s="9">
        <f>_xlfn.XLOOKUP($D24,'[8]6 - Resultado'!$D$7:$D$24,'[8]6 - Resultado'!$I$7:$I$24,0)</f>
        <v>0</v>
      </c>
      <c r="R24" s="9">
        <f>_xlfn.XLOOKUP($D24,'[9]6 - Resultado'!$D$7:$D$24,'[9]6 - Resultado'!$I$7:$I$24,0)</f>
        <v>0</v>
      </c>
      <c r="S24" s="9">
        <f>_xlfn.XLOOKUP($D24,'[15]6 - Resultado'!$D$7:$D$27,'[15]6 - Resultado'!$I$7:$I$27,0)</f>
        <v>3</v>
      </c>
      <c r="T24" s="9">
        <f>_xlfn.XLOOKUP($D24,'[10]6 - Resultado'!$D$7:$D$24,'[10]6 - Resultado'!$I$7:$I$24,0)</f>
        <v>0</v>
      </c>
      <c r="U24" s="9">
        <f>_xlfn.XLOOKUP($D24,'[11]6 - Resultado'!$D$7:$D$24,'[11]6 - Resultado'!$I$7:$I$24,0)</f>
        <v>0</v>
      </c>
      <c r="V24" s="9">
        <f>_xlfn.XLOOKUP($D24,'[12]6 - Resultado'!$D$7:$D$24,'[12]6 - Resultado'!$I$7:$I$24,0)</f>
        <v>0</v>
      </c>
      <c r="W24" s="9">
        <f>_xlfn.XLOOKUP($D24,'[13]6 - Resultado'!$D$7:$D$27,'[13]6 - Resultado'!$I$7:$I$27,0)</f>
        <v>0</v>
      </c>
      <c r="X24" s="9">
        <f>_xlfn.XLOOKUP($D24,'[16]6 - Resultado'!$D$7:$D$27,'[16]6 - Resultado'!$I$7:$I$27,0)</f>
        <v>0</v>
      </c>
      <c r="Y24" s="30">
        <f>(MODELO!D23*I24)*1.94</f>
        <v>64492.35119999999</v>
      </c>
      <c r="Z24" s="14">
        <f t="shared" si="2"/>
        <v>773908.21439999994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s="33" customFormat="1" ht="40.200000000000003" x14ac:dyDescent="0.3">
      <c r="A25" s="32"/>
      <c r="C25" s="70" t="s">
        <v>140</v>
      </c>
      <c r="D25" s="71"/>
      <c r="E25" s="71"/>
      <c r="F25" s="71"/>
      <c r="G25" s="71"/>
      <c r="H25" s="72"/>
      <c r="I25" s="31">
        <f>SUM(I4:I24)</f>
        <v>140</v>
      </c>
      <c r="J25" s="9">
        <f>SUM(J4:J24)</f>
        <v>37</v>
      </c>
      <c r="K25" s="9">
        <f>SUM(K4:K24)</f>
        <v>10</v>
      </c>
      <c r="L25" s="9">
        <f t="shared" ref="L25:X25" si="3">SUM(L4:L24)</f>
        <v>7</v>
      </c>
      <c r="M25" s="9">
        <f t="shared" si="3"/>
        <v>1</v>
      </c>
      <c r="N25" s="9">
        <f t="shared" si="3"/>
        <v>4</v>
      </c>
      <c r="O25" s="9">
        <f t="shared" si="3"/>
        <v>4</v>
      </c>
      <c r="P25" s="9">
        <f t="shared" si="3"/>
        <v>2</v>
      </c>
      <c r="Q25" s="9">
        <f t="shared" si="3"/>
        <v>1</v>
      </c>
      <c r="R25" s="9">
        <f t="shared" si="3"/>
        <v>9</v>
      </c>
      <c r="S25" s="9">
        <f t="shared" si="3"/>
        <v>35</v>
      </c>
      <c r="T25" s="9">
        <f t="shared" si="3"/>
        <v>4</v>
      </c>
      <c r="U25" s="9">
        <f t="shared" si="3"/>
        <v>1</v>
      </c>
      <c r="V25" s="9">
        <f t="shared" si="3"/>
        <v>6</v>
      </c>
      <c r="W25" s="9">
        <f t="shared" si="3"/>
        <v>11</v>
      </c>
      <c r="X25" s="9">
        <f t="shared" si="3"/>
        <v>8</v>
      </c>
      <c r="Y25" s="35" t="s">
        <v>41</v>
      </c>
      <c r="Z25" s="36">
        <f>SUM(Z4:Z24)</f>
        <v>35129987.462399997</v>
      </c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</row>
    <row r="26" spans="1:45" s="7" customFormat="1" x14ac:dyDescent="0.3">
      <c r="A26" s="6"/>
      <c r="C26" s="17"/>
      <c r="Y26" s="18"/>
      <c r="Z26" s="19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s="7" customFormat="1" x14ac:dyDescent="0.3">
      <c r="A27" s="6"/>
      <c r="C27" s="79" t="s">
        <v>106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19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s="7" customFormat="1" ht="14.4" customHeight="1" x14ac:dyDescent="0.3">
      <c r="A28" s="6"/>
      <c r="C28" s="80" t="s">
        <v>1</v>
      </c>
      <c r="D28" s="82" t="s">
        <v>2</v>
      </c>
      <c r="E28" s="83"/>
      <c r="F28" s="80" t="s">
        <v>3</v>
      </c>
      <c r="G28" s="73" t="s">
        <v>4</v>
      </c>
      <c r="H28" s="73" t="s">
        <v>5</v>
      </c>
      <c r="I28" s="75" t="s">
        <v>74</v>
      </c>
      <c r="J28" s="68" t="s">
        <v>82</v>
      </c>
      <c r="K28" s="68" t="s">
        <v>83</v>
      </c>
      <c r="L28" s="68" t="s">
        <v>84</v>
      </c>
      <c r="M28" s="68" t="s">
        <v>85</v>
      </c>
      <c r="N28" s="68" t="s">
        <v>86</v>
      </c>
      <c r="O28" s="68" t="s">
        <v>87</v>
      </c>
      <c r="P28" s="68" t="s">
        <v>88</v>
      </c>
      <c r="Q28" s="68" t="s">
        <v>89</v>
      </c>
      <c r="R28" s="68" t="s">
        <v>90</v>
      </c>
      <c r="S28" s="68" t="s">
        <v>91</v>
      </c>
      <c r="T28" s="68" t="s">
        <v>93</v>
      </c>
      <c r="U28" s="68" t="s">
        <v>94</v>
      </c>
      <c r="V28" s="68" t="s">
        <v>95</v>
      </c>
      <c r="W28" s="68" t="s">
        <v>96</v>
      </c>
      <c r="X28" s="68" t="s">
        <v>97</v>
      </c>
      <c r="Y28" s="73" t="s">
        <v>6</v>
      </c>
      <c r="Z28" s="73" t="s">
        <v>7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s="7" customFormat="1" ht="25.2" customHeight="1" x14ac:dyDescent="0.3">
      <c r="A29" s="6"/>
      <c r="C29" s="81"/>
      <c r="D29" s="84"/>
      <c r="E29" s="85"/>
      <c r="F29" s="81"/>
      <c r="G29" s="74"/>
      <c r="H29" s="74"/>
      <c r="I29" s="76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74"/>
      <c r="Z29" s="74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s="7" customFormat="1" ht="26.4" x14ac:dyDescent="0.3">
      <c r="A30" s="6"/>
      <c r="C30" s="20">
        <v>1</v>
      </c>
      <c r="D30" s="21" t="s">
        <v>42</v>
      </c>
      <c r="E30" s="21" t="s">
        <v>43</v>
      </c>
      <c r="F30" s="20">
        <v>26042</v>
      </c>
      <c r="G30" s="21" t="s">
        <v>44</v>
      </c>
      <c r="H30" s="21" t="s">
        <v>10</v>
      </c>
      <c r="I30" s="31">
        <f>SUM(J30:X30)</f>
        <v>3</v>
      </c>
      <c r="J30" s="9">
        <f>_xlfn.XLOOKUP($D30,'[1]6 - Resultado'!$D$32:$D$34,'[1]6 - Resultado'!$I$32:$I$34,0)</f>
        <v>3</v>
      </c>
      <c r="K30" s="9">
        <f>_xlfn.XLOOKUP(D30,'[2]6 - Resultado'!$D$28:$D$30,'[2]6 - Resultado'!$I$28:$I$30,0)</f>
        <v>0</v>
      </c>
      <c r="L30" s="9">
        <f>_xlfn.XLOOKUP($D30,'[3]6 - Resultado'!$D$29:$D$31,'[3]6 - Resultado'!$I$29:$I$31,0)</f>
        <v>0</v>
      </c>
      <c r="M30" s="9">
        <f>_xlfn.XLOOKUP($D30,'[4]6 - Resultado'!$D$28:$D$30,'[4]6 - Resultado'!$I$28:$I$30,0)</f>
        <v>0</v>
      </c>
      <c r="N30" s="9">
        <f>_xlfn.XLOOKUP($D30,'[5]6 - Resultado'!$D$28:$D$30,'[5]6 - Resultado'!$I$28:$I$30,0)</f>
        <v>0</v>
      </c>
      <c r="O30" s="9">
        <f>_xlfn.XLOOKUP($D30,'[6]6 - Resultado'!$D$28:$D$30,'[6]6 - Resultado'!$I$28:$I$30,0)</f>
        <v>0</v>
      </c>
      <c r="P30" s="9">
        <f>_xlfn.XLOOKUP($D30,'[14]6 - Resultado'!$D$28:$D$30,'[14]6 - Resultado'!$I$28:$I$30,0)</f>
        <v>0</v>
      </c>
      <c r="Q30" s="9">
        <f>_xlfn.XLOOKUP($D30,'[8]6 - Resultado'!$D$7:$D$24,'[8]6 - Resultado'!$I$7:$I$24,0)</f>
        <v>0</v>
      </c>
      <c r="R30" s="9">
        <f>_xlfn.XLOOKUP($D30,'[9]6 - Resultado'!$D$29:$D$31,'[9]6 - Resultado'!$I$29:$I$31,0)</f>
        <v>0</v>
      </c>
      <c r="S30" s="9" t="s">
        <v>144</v>
      </c>
      <c r="T30" s="9">
        <f>_xlfn.XLOOKUP($D30,'[10]6 - Resultado'!$D$28:$D$30,'[10]6 - Resultado'!$I$28:$I$30,0)</f>
        <v>0</v>
      </c>
      <c r="U30" s="9">
        <f>_xlfn.XLOOKUP($D30,'[11]6 - Resultado'!$D$28:$D$30,'[11]6 - Resultado'!$I$28:$I$30,0)</f>
        <v>0</v>
      </c>
      <c r="V30" s="9">
        <f>_xlfn.XLOOKUP($D30,'[12]6 - Resultado'!$D$28:$D$30,'[12]6 - Resultado'!$I$28:$I$30,0)</f>
        <v>0</v>
      </c>
      <c r="W30" s="9">
        <f>_xlfn.XLOOKUP($D30,'[13]6 - Resultado'!$D$32:$D$34,'[13]6 - Resultado'!$I$32:$I$34,0)</f>
        <v>0</v>
      </c>
      <c r="X30" s="9">
        <f>_xlfn.XLOOKUP($D30,'[16]6 - Resultado'!$D$28:$D$30,'[16]6 - Resultado'!$I$28:$I$30,0)</f>
        <v>0</v>
      </c>
      <c r="Y30" s="13">
        <f>(I30*MODELO!D21)*1.94</f>
        <v>31499.702399999998</v>
      </c>
      <c r="Z30" s="14">
        <f t="shared" ref="Z30:Z32" si="4">Y30*12</f>
        <v>377996.42879999999</v>
      </c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s="7" customFormat="1" ht="26.4" x14ac:dyDescent="0.3">
      <c r="A31" s="6"/>
      <c r="C31" s="22">
        <v>2</v>
      </c>
      <c r="D31" s="23" t="s">
        <v>45</v>
      </c>
      <c r="E31" s="23" t="s">
        <v>46</v>
      </c>
      <c r="F31" s="22">
        <v>26042</v>
      </c>
      <c r="G31" s="23" t="s">
        <v>44</v>
      </c>
      <c r="H31" s="23" t="s">
        <v>10</v>
      </c>
      <c r="I31" s="31">
        <f>SUM(J31:X31)</f>
        <v>0</v>
      </c>
      <c r="J31" s="9">
        <f>_xlfn.XLOOKUP($D31,'[1]6 - Resultado'!$D$32:$D$34,'[1]6 - Resultado'!$I$32:$I$34,0)</f>
        <v>0</v>
      </c>
      <c r="K31" s="9">
        <f>_xlfn.XLOOKUP(D31,'[2]6 - Resultado'!$D$28:$D$30,'[2]6 - Resultado'!$I$28:$I$30,0)</f>
        <v>0</v>
      </c>
      <c r="L31" s="9">
        <f>_xlfn.XLOOKUP($D31,'[3]6 - Resultado'!$D$29:$D$31,'[3]6 - Resultado'!$I$29:$I$31,0)</f>
        <v>0</v>
      </c>
      <c r="M31" s="9">
        <f>_xlfn.XLOOKUP($D31,'[4]6 - Resultado'!$D$28:$D$30,'[4]6 - Resultado'!$I$28:$I$30,0)</f>
        <v>0</v>
      </c>
      <c r="N31" s="9">
        <f>_xlfn.XLOOKUP($D31,'[5]6 - Resultado'!$D$28:$D$30,'[5]6 - Resultado'!$I$28:$I$30,0)</f>
        <v>0</v>
      </c>
      <c r="O31" s="9">
        <f>_xlfn.XLOOKUP($D31,'[6]6 - Resultado'!$D$28:$D$30,'[6]6 - Resultado'!$I$28:$I$30,0)</f>
        <v>0</v>
      </c>
      <c r="P31" s="9">
        <f>_xlfn.XLOOKUP($D31,'[14]6 - Resultado'!$D$28:$D$30,'[14]6 - Resultado'!$I$28:$I$30,0)</f>
        <v>0</v>
      </c>
      <c r="Q31" s="9">
        <f>_xlfn.XLOOKUP($D31,'[8]6 - Resultado'!$D$7:$D$24,'[8]6 - Resultado'!$I$7:$I$24,0)</f>
        <v>0</v>
      </c>
      <c r="R31" s="9">
        <f>_xlfn.XLOOKUP($D31,'[9]6 - Resultado'!$D$29:$D$31,'[9]6 - Resultado'!$I$29:$I$31,0)</f>
        <v>0</v>
      </c>
      <c r="S31" s="9">
        <f>_xlfn.XLOOKUP($D31,'[15]6 - Resultado'!$D$29:$D$31,'[15]6 - Resultado'!$I$29:$I$31,0)</f>
        <v>0</v>
      </c>
      <c r="T31" s="9">
        <f>_xlfn.XLOOKUP($D31,'[10]6 - Resultado'!$D$28:$D$30,'[10]6 - Resultado'!$I$28:$I$30,0)</f>
        <v>0</v>
      </c>
      <c r="U31" s="9">
        <f>_xlfn.XLOOKUP($D31,'[11]6 - Resultado'!$D$28:$D$30,'[11]6 - Resultado'!$I$28:$I$30,0)</f>
        <v>0</v>
      </c>
      <c r="V31" s="9">
        <f>_xlfn.XLOOKUP($D31,'[12]6 - Resultado'!$D$28:$D$30,'[12]6 - Resultado'!$I$28:$I$30,0)</f>
        <v>0</v>
      </c>
      <c r="W31" s="9">
        <f>_xlfn.XLOOKUP($D31,'[13]6 - Resultado'!$D$32:$D$34,'[13]6 - Resultado'!$I$32:$I$34,0)</f>
        <v>0</v>
      </c>
      <c r="X31" s="9">
        <f>_xlfn.XLOOKUP($D31,'[16]6 - Resultado'!$D$28:$D$30,'[16]6 - Resultado'!$I$28:$I$30,0)</f>
        <v>0</v>
      </c>
      <c r="Y31" s="13">
        <f>(I31*MODELO!D22)*1.94</f>
        <v>0</v>
      </c>
      <c r="Z31" s="14">
        <f t="shared" si="4"/>
        <v>0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s="7" customFormat="1" ht="26.4" x14ac:dyDescent="0.3">
      <c r="A32" s="6"/>
      <c r="C32" s="22">
        <v>3</v>
      </c>
      <c r="D32" s="23" t="s">
        <v>47</v>
      </c>
      <c r="E32" s="23" t="s">
        <v>48</v>
      </c>
      <c r="F32" s="22">
        <v>26042</v>
      </c>
      <c r="G32" s="23" t="s">
        <v>44</v>
      </c>
      <c r="H32" s="23" t="s">
        <v>10</v>
      </c>
      <c r="I32" s="31">
        <f>SUM(J32:X32)</f>
        <v>0</v>
      </c>
      <c r="J32" s="9">
        <f>_xlfn.XLOOKUP($D32,'[1]6 - Resultado'!$D$32:$D$34,'[1]6 - Resultado'!$I$32:$I$34,0)</f>
        <v>0</v>
      </c>
      <c r="K32" s="9">
        <f>_xlfn.XLOOKUP(D32,'[2]6 - Resultado'!$D$28:$D$30,'[2]6 - Resultado'!$I$28:$I$30,0)</f>
        <v>0</v>
      </c>
      <c r="L32" s="9">
        <f>_xlfn.XLOOKUP($D32,'[3]6 - Resultado'!$D$29:$D$31,'[3]6 - Resultado'!$I$29:$I$31,0)</f>
        <v>0</v>
      </c>
      <c r="M32" s="9">
        <f>_xlfn.XLOOKUP($D32,'[4]6 - Resultado'!$D$28:$D$30,'[4]6 - Resultado'!$I$28:$I$30,0)</f>
        <v>0</v>
      </c>
      <c r="N32" s="9">
        <f>_xlfn.XLOOKUP($D32,'[5]6 - Resultado'!$D$28:$D$30,'[5]6 - Resultado'!$I$28:$I$30,0)</f>
        <v>0</v>
      </c>
      <c r="O32" s="9">
        <f>_xlfn.XLOOKUP($D32,'[6]6 - Resultado'!$D$28:$D$30,'[6]6 - Resultado'!$I$28:$I$30,0)</f>
        <v>0</v>
      </c>
      <c r="P32" s="9">
        <f>_xlfn.XLOOKUP($D32,'[14]6 - Resultado'!$D$28:$D$30,'[14]6 - Resultado'!$I$28:$I$30,0)</f>
        <v>0</v>
      </c>
      <c r="Q32" s="9">
        <f>_xlfn.XLOOKUP($D32,'[8]6 - Resultado'!$D$7:$D$24,'[8]6 - Resultado'!$I$7:$I$24,0)</f>
        <v>0</v>
      </c>
      <c r="R32" s="9">
        <f>_xlfn.XLOOKUP($D32,'[9]6 - Resultado'!$D$29:$D$31,'[9]6 - Resultado'!$I$29:$I$31,0)</f>
        <v>0</v>
      </c>
      <c r="S32" s="9">
        <f>_xlfn.XLOOKUP($D32,'[15]6 - Resultado'!$D$29:$D$31,'[15]6 - Resultado'!$I$29:$I$31,0)</f>
        <v>0</v>
      </c>
      <c r="T32" s="9">
        <f>_xlfn.XLOOKUP($D32,'[10]6 - Resultado'!$D$28:$D$30,'[10]6 - Resultado'!$I$28:$I$30,0)</f>
        <v>0</v>
      </c>
      <c r="U32" s="9">
        <f>_xlfn.XLOOKUP($D32,'[11]6 - Resultado'!$D$28:$D$30,'[11]6 - Resultado'!$I$28:$I$30,0)</f>
        <v>0</v>
      </c>
      <c r="V32" s="9">
        <f>_xlfn.XLOOKUP($D32,'[12]6 - Resultado'!$D$28:$D$30,'[12]6 - Resultado'!$I$28:$I$30,0)</f>
        <v>0</v>
      </c>
      <c r="W32" s="9">
        <f>_xlfn.XLOOKUP($D32,'[13]6 - Resultado'!$D$32:$D$34,'[13]6 - Resultado'!$I$32:$I$34,0)</f>
        <v>0</v>
      </c>
      <c r="X32" s="9">
        <f>_xlfn.XLOOKUP($D32,'[16]6 - Resultado'!$D$28:$D$30,'[16]6 - Resultado'!$I$28:$I$30,0)</f>
        <v>0</v>
      </c>
      <c r="Y32" s="13">
        <f>(I32*MODELO!D23)*1.94</f>
        <v>0</v>
      </c>
      <c r="Z32" s="14">
        <f t="shared" si="4"/>
        <v>0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45" s="33" customFormat="1" ht="40.200000000000003" x14ac:dyDescent="0.3">
      <c r="A33" s="32"/>
      <c r="C33" s="34"/>
      <c r="Y33" s="36" t="s">
        <v>49</v>
      </c>
      <c r="Z33" s="36">
        <f>SUM(Z30:Z32)</f>
        <v>377996.42879999999</v>
      </c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</row>
    <row r="34" spans="1:45" s="33" customFormat="1" x14ac:dyDescent="0.3">
      <c r="A34" s="32"/>
      <c r="C34" s="34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2"/>
      <c r="Z34" s="62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</row>
    <row r="35" spans="1:45" x14ac:dyDescent="0.3"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spans="1:45" ht="40.200000000000003" x14ac:dyDescent="0.3">
      <c r="Y36" s="36" t="s">
        <v>139</v>
      </c>
      <c r="Z36" s="36">
        <f>Z25+Z33</f>
        <v>35507983.891199999</v>
      </c>
      <c r="AD36" s="40"/>
    </row>
    <row r="38" spans="1:45" x14ac:dyDescent="0.3">
      <c r="Z38" s="46"/>
    </row>
  </sheetData>
  <mergeCells count="50">
    <mergeCell ref="Y28:Y29"/>
    <mergeCell ref="C1:I1"/>
    <mergeCell ref="C2:C3"/>
    <mergeCell ref="F2:F3"/>
    <mergeCell ref="G2:G3"/>
    <mergeCell ref="H2:H3"/>
    <mergeCell ref="I2:I3"/>
    <mergeCell ref="Y2:Y3"/>
    <mergeCell ref="K28:K29"/>
    <mergeCell ref="L28:L29"/>
    <mergeCell ref="M28:M29"/>
    <mergeCell ref="N28:N29"/>
    <mergeCell ref="O28:O29"/>
    <mergeCell ref="U28:U29"/>
    <mergeCell ref="V28:V29"/>
    <mergeCell ref="W28:W29"/>
    <mergeCell ref="Z28:Z29"/>
    <mergeCell ref="K2:K3"/>
    <mergeCell ref="L2:L3"/>
    <mergeCell ref="M2:M3"/>
    <mergeCell ref="N2:N3"/>
    <mergeCell ref="O2:O3"/>
    <mergeCell ref="U2:U3"/>
    <mergeCell ref="V2:V3"/>
    <mergeCell ref="W2:W3"/>
    <mergeCell ref="X2:X3"/>
    <mergeCell ref="Z2:Z3"/>
    <mergeCell ref="C27:Y27"/>
    <mergeCell ref="C28:C29"/>
    <mergeCell ref="D28:E29"/>
    <mergeCell ref="F28:F29"/>
    <mergeCell ref="G28:G29"/>
    <mergeCell ref="X28:X29"/>
    <mergeCell ref="R28:R29"/>
    <mergeCell ref="S28:S29"/>
    <mergeCell ref="T28:T29"/>
    <mergeCell ref="C25:H25"/>
    <mergeCell ref="H28:H29"/>
    <mergeCell ref="I28:I29"/>
    <mergeCell ref="D2:D3"/>
    <mergeCell ref="E2:E3"/>
    <mergeCell ref="S2:S3"/>
    <mergeCell ref="T2:T3"/>
    <mergeCell ref="P28:P29"/>
    <mergeCell ref="Q28:Q29"/>
    <mergeCell ref="J2:J3"/>
    <mergeCell ref="J28:J29"/>
    <mergeCell ref="P2:P3"/>
    <mergeCell ref="Q2:Q3"/>
    <mergeCell ref="R2:R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ignoredErrors>
    <ignoredError sqref="L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1C6-1ACB-4CBB-A200-2895C0E25153}">
  <dimension ref="A2:E23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2.88671875" style="28" bestFit="1" customWidth="1"/>
    <col min="5" max="5" width="8" bestFit="1" customWidth="1"/>
  </cols>
  <sheetData>
    <row r="2" spans="1:5" ht="43.2" x14ac:dyDescent="0.3">
      <c r="A2" s="24" t="s">
        <v>50</v>
      </c>
      <c r="B2" s="24" t="s">
        <v>2</v>
      </c>
      <c r="C2" s="24" t="s">
        <v>51</v>
      </c>
      <c r="D2" s="26" t="s">
        <v>75</v>
      </c>
      <c r="E2" s="24" t="s">
        <v>53</v>
      </c>
    </row>
    <row r="3" spans="1:5" x14ac:dyDescent="0.3">
      <c r="A3" s="25"/>
      <c r="B3" s="25" t="s">
        <v>76</v>
      </c>
      <c r="C3" s="25"/>
      <c r="D3" s="27">
        <v>12073.7</v>
      </c>
      <c r="E3" s="25"/>
    </row>
    <row r="4" spans="1:5" x14ac:dyDescent="0.3">
      <c r="A4" s="25"/>
      <c r="B4" s="25" t="s">
        <v>77</v>
      </c>
      <c r="C4" s="25"/>
      <c r="D4" s="27">
        <v>18084.53</v>
      </c>
      <c r="E4" s="25"/>
    </row>
    <row r="5" spans="1:5" x14ac:dyDescent="0.3">
      <c r="A5" s="25"/>
      <c r="B5" s="25" t="s">
        <v>78</v>
      </c>
      <c r="C5" s="25"/>
      <c r="D5" s="27">
        <v>7519.48</v>
      </c>
      <c r="E5" s="25"/>
    </row>
    <row r="6" spans="1:5" x14ac:dyDescent="0.3">
      <c r="A6" s="25"/>
      <c r="B6" s="25" t="s">
        <v>79</v>
      </c>
      <c r="C6" s="25"/>
      <c r="D6" s="27">
        <v>10677.45</v>
      </c>
      <c r="E6" s="25"/>
    </row>
    <row r="7" spans="1:5" x14ac:dyDescent="0.3">
      <c r="A7" s="25"/>
      <c r="B7" s="25" t="s">
        <v>80</v>
      </c>
      <c r="C7" s="25"/>
      <c r="D7" s="27">
        <v>14016.77</v>
      </c>
      <c r="E7" s="25"/>
    </row>
    <row r="8" spans="1:5" x14ac:dyDescent="0.3">
      <c r="A8" s="25"/>
      <c r="B8" s="25" t="s">
        <v>62</v>
      </c>
      <c r="C8" s="25"/>
      <c r="D8" s="27">
        <v>15901.68</v>
      </c>
      <c r="E8" s="25"/>
    </row>
    <row r="9" spans="1:5" x14ac:dyDescent="0.3">
      <c r="A9" s="25"/>
      <c r="B9" s="25" t="s">
        <v>63</v>
      </c>
      <c r="C9" s="25"/>
      <c r="D9" s="27">
        <v>6567.23</v>
      </c>
      <c r="E9" s="25"/>
    </row>
    <row r="10" spans="1:5" x14ac:dyDescent="0.3">
      <c r="A10" s="25"/>
      <c r="B10" s="25" t="s">
        <v>64</v>
      </c>
      <c r="C10" s="25"/>
      <c r="D10" s="27">
        <v>8744.98</v>
      </c>
      <c r="E10" s="25"/>
    </row>
    <row r="11" spans="1:5" x14ac:dyDescent="0.3">
      <c r="A11" s="25"/>
      <c r="B11" s="25" t="s">
        <v>65</v>
      </c>
      <c r="C11" s="25"/>
      <c r="D11" s="27">
        <v>11227.93</v>
      </c>
      <c r="E11" s="25"/>
    </row>
    <row r="12" spans="1:5" x14ac:dyDescent="0.3">
      <c r="A12" s="25"/>
      <c r="B12" s="25" t="s">
        <v>66</v>
      </c>
      <c r="C12" s="25"/>
      <c r="D12" s="27">
        <v>6750.64</v>
      </c>
      <c r="E12" s="25"/>
    </row>
    <row r="13" spans="1:5" x14ac:dyDescent="0.3">
      <c r="A13" s="25"/>
      <c r="B13" s="25" t="s">
        <v>67</v>
      </c>
      <c r="C13" s="25"/>
      <c r="D13" s="27">
        <v>10110.31</v>
      </c>
      <c r="E13" s="25"/>
    </row>
    <row r="14" spans="1:5" x14ac:dyDescent="0.3">
      <c r="A14" s="25"/>
      <c r="B14" s="25" t="s">
        <v>68</v>
      </c>
      <c r="C14" s="25"/>
      <c r="D14" s="27">
        <v>13497.19</v>
      </c>
      <c r="E14" s="25"/>
    </row>
    <row r="15" spans="1:5" x14ac:dyDescent="0.3">
      <c r="A15" s="25"/>
      <c r="B15" s="25" t="s">
        <v>69</v>
      </c>
      <c r="C15" s="25"/>
      <c r="D15" s="27">
        <v>7714.04</v>
      </c>
      <c r="E15" s="25"/>
    </row>
    <row r="16" spans="1:5" x14ac:dyDescent="0.3">
      <c r="A16" s="25"/>
      <c r="B16" s="25" t="s">
        <v>70</v>
      </c>
      <c r="C16" s="25"/>
      <c r="D16" s="27">
        <v>12115.48</v>
      </c>
      <c r="E16" s="25"/>
    </row>
    <row r="17" spans="1:5" x14ac:dyDescent="0.3">
      <c r="A17" s="25"/>
      <c r="B17" s="25" t="s">
        <v>71</v>
      </c>
      <c r="C17" s="25"/>
      <c r="D17" s="27">
        <v>11732.2</v>
      </c>
      <c r="E17" s="25"/>
    </row>
    <row r="18" spans="1:5" x14ac:dyDescent="0.3">
      <c r="A18" s="25"/>
      <c r="B18" s="25" t="s">
        <v>81</v>
      </c>
      <c r="C18" s="25"/>
      <c r="D18" s="27">
        <v>13949.62</v>
      </c>
      <c r="E18" s="25"/>
    </row>
    <row r="19" spans="1:5" x14ac:dyDescent="0.3">
      <c r="A19" s="25"/>
      <c r="B19" s="25" t="s">
        <v>72</v>
      </c>
      <c r="C19" s="25"/>
      <c r="D19" s="27">
        <v>8114.39</v>
      </c>
      <c r="E19" s="25"/>
    </row>
    <row r="20" spans="1:5" x14ac:dyDescent="0.3">
      <c r="A20" s="25"/>
      <c r="B20" s="25" t="s">
        <v>73</v>
      </c>
      <c r="C20" s="25"/>
      <c r="D20" s="27">
        <v>10463.07</v>
      </c>
      <c r="E20" s="25"/>
    </row>
    <row r="21" spans="1:5" x14ac:dyDescent="0.3">
      <c r="A21" s="25"/>
      <c r="B21" s="25" t="s">
        <v>56</v>
      </c>
      <c r="C21" s="25"/>
      <c r="D21" s="27">
        <v>5412.32</v>
      </c>
      <c r="E21" s="25"/>
    </row>
    <row r="22" spans="1:5" x14ac:dyDescent="0.3">
      <c r="A22" s="25"/>
      <c r="B22" s="25" t="s">
        <v>57</v>
      </c>
      <c r="C22" s="25"/>
      <c r="D22" s="27">
        <v>7795.75</v>
      </c>
      <c r="E22" s="25"/>
    </row>
    <row r="23" spans="1:5" x14ac:dyDescent="0.3">
      <c r="A23" s="25"/>
      <c r="B23" s="25" t="s">
        <v>58</v>
      </c>
      <c r="C23" s="25"/>
      <c r="D23" s="27">
        <v>11081.16</v>
      </c>
      <c r="E23" s="2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6D364-EED3-438C-9A6D-66EC21C62DFA}">
  <dimension ref="A2:H33"/>
  <sheetViews>
    <sheetView topLeftCell="A11"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2.88671875" style="28" bestFit="1" customWidth="1"/>
    <col min="5" max="5" width="8" bestFit="1" customWidth="1"/>
    <col min="6" max="6" width="16" style="28" bestFit="1" customWidth="1"/>
    <col min="7" max="7" width="12.88671875" bestFit="1" customWidth="1"/>
    <col min="8" max="8" width="15.5546875" bestFit="1" customWidth="1"/>
    <col min="9" max="9" width="14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6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27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27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27">
        <v>7519.48</v>
      </c>
      <c r="E5" s="25">
        <v>4</v>
      </c>
      <c r="F5" s="27">
        <f t="shared" si="0"/>
        <v>30077.919999999998</v>
      </c>
    </row>
    <row r="6" spans="1:6" x14ac:dyDescent="0.3">
      <c r="A6" s="25"/>
      <c r="B6" s="25" t="s">
        <v>60</v>
      </c>
      <c r="C6" s="25"/>
      <c r="D6" s="27">
        <v>10677.45</v>
      </c>
      <c r="E6" s="25">
        <v>11</v>
      </c>
      <c r="F6" s="27">
        <f t="shared" si="0"/>
        <v>117451.95000000001</v>
      </c>
    </row>
    <row r="7" spans="1:6" x14ac:dyDescent="0.3">
      <c r="A7" s="25"/>
      <c r="B7" s="25" t="s">
        <v>61</v>
      </c>
      <c r="C7" s="25"/>
      <c r="D7" s="27">
        <v>14016.77</v>
      </c>
      <c r="E7" s="25">
        <v>6</v>
      </c>
      <c r="F7" s="27">
        <f t="shared" si="0"/>
        <v>84100.62</v>
      </c>
    </row>
    <row r="8" spans="1:6" x14ac:dyDescent="0.3">
      <c r="A8" s="25"/>
      <c r="B8" s="25" t="s">
        <v>62</v>
      </c>
      <c r="C8" s="25"/>
      <c r="D8" s="27">
        <v>15901.68</v>
      </c>
      <c r="E8" s="25">
        <v>1</v>
      </c>
      <c r="F8" s="27">
        <f t="shared" si="0"/>
        <v>15901.68</v>
      </c>
    </row>
    <row r="9" spans="1:6" x14ac:dyDescent="0.3">
      <c r="A9" s="25"/>
      <c r="B9" s="25" t="s">
        <v>63</v>
      </c>
      <c r="C9" s="25"/>
      <c r="D9" s="27">
        <v>6567.23</v>
      </c>
      <c r="E9" s="25">
        <v>1</v>
      </c>
      <c r="F9" s="27">
        <f t="shared" si="0"/>
        <v>6567.23</v>
      </c>
    </row>
    <row r="10" spans="1:6" x14ac:dyDescent="0.3">
      <c r="A10" s="25"/>
      <c r="B10" s="25" t="s">
        <v>64</v>
      </c>
      <c r="C10" s="25"/>
      <c r="D10" s="27">
        <v>8744.98</v>
      </c>
      <c r="E10" s="25">
        <v>2</v>
      </c>
      <c r="F10" s="27">
        <f t="shared" si="0"/>
        <v>17489.96</v>
      </c>
    </row>
    <row r="11" spans="1:6" x14ac:dyDescent="0.3">
      <c r="A11" s="25"/>
      <c r="B11" s="25" t="s">
        <v>65</v>
      </c>
      <c r="C11" s="25"/>
      <c r="D11" s="27">
        <v>11227.93</v>
      </c>
      <c r="E11" s="25">
        <v>4</v>
      </c>
      <c r="F11" s="27">
        <f t="shared" si="0"/>
        <v>44911.72</v>
      </c>
    </row>
    <row r="12" spans="1:6" x14ac:dyDescent="0.3">
      <c r="A12" s="25"/>
      <c r="B12" s="25" t="s">
        <v>66</v>
      </c>
      <c r="C12" s="25"/>
      <c r="D12" s="27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27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27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27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27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27">
        <v>11732.2</v>
      </c>
      <c r="E17" s="25">
        <v>2</v>
      </c>
      <c r="F17" s="27">
        <f t="shared" si="0"/>
        <v>23464.400000000001</v>
      </c>
    </row>
    <row r="18" spans="1:8" x14ac:dyDescent="0.3">
      <c r="A18" s="25"/>
      <c r="B18" s="25" t="s">
        <v>40</v>
      </c>
      <c r="C18" s="25"/>
      <c r="D18" s="27">
        <v>13949.62</v>
      </c>
      <c r="E18" s="25">
        <v>1</v>
      </c>
      <c r="F18" s="27">
        <f t="shared" si="0"/>
        <v>13949.62</v>
      </c>
    </row>
    <row r="19" spans="1:8" x14ac:dyDescent="0.3">
      <c r="A19" s="25"/>
      <c r="B19" s="25" t="s">
        <v>72</v>
      </c>
      <c r="C19" s="25"/>
      <c r="D19" s="27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27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27">
        <v>5412.32</v>
      </c>
      <c r="E21" s="25">
        <v>4</v>
      </c>
      <c r="F21" s="27">
        <f t="shared" si="0"/>
        <v>21649.279999999999</v>
      </c>
    </row>
    <row r="22" spans="1:8" x14ac:dyDescent="0.3">
      <c r="A22" s="25"/>
      <c r="B22" s="25" t="s">
        <v>57</v>
      </c>
      <c r="C22" s="25"/>
      <c r="D22" s="27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27">
        <v>11081.16</v>
      </c>
      <c r="E23" s="25">
        <v>0</v>
      </c>
      <c r="F23" s="27">
        <f t="shared" si="0"/>
        <v>0</v>
      </c>
    </row>
    <row r="24" spans="1:8" x14ac:dyDescent="0.3">
      <c r="A24" s="88" t="s">
        <v>105</v>
      </c>
      <c r="B24" s="88"/>
      <c r="C24" s="88"/>
      <c r="D24" s="88"/>
      <c r="E24" s="88"/>
      <c r="F24" s="89"/>
    </row>
    <row r="25" spans="1:8" x14ac:dyDescent="0.3">
      <c r="B25" s="25" t="s">
        <v>56</v>
      </c>
      <c r="C25" s="25"/>
      <c r="D25" s="27">
        <v>5412.32</v>
      </c>
      <c r="E25" s="25">
        <v>3</v>
      </c>
      <c r="F25" s="27">
        <f t="shared" ref="F25:F27" si="1">E25*D25</f>
        <v>16236.96</v>
      </c>
      <c r="G25" s="56" t="s">
        <v>135</v>
      </c>
      <c r="H25" s="56" t="s">
        <v>134</v>
      </c>
    </row>
    <row r="26" spans="1:8" x14ac:dyDescent="0.3">
      <c r="B26" s="25" t="s">
        <v>57</v>
      </c>
      <c r="C26" s="25"/>
      <c r="D26" s="27">
        <v>7795.75</v>
      </c>
      <c r="E26" s="25">
        <v>0</v>
      </c>
      <c r="F26" s="27">
        <f t="shared" si="1"/>
        <v>0</v>
      </c>
      <c r="G26" s="57">
        <f>F25*1.94</f>
        <v>31499.702399999998</v>
      </c>
      <c r="H26" s="57">
        <f>G26*12</f>
        <v>377996.42879999999</v>
      </c>
    </row>
    <row r="27" spans="1:8" x14ac:dyDescent="0.3">
      <c r="B27" s="25" t="s">
        <v>58</v>
      </c>
      <c r="C27" s="25"/>
      <c r="D27" s="27">
        <v>11081.16</v>
      </c>
      <c r="E27" s="25">
        <v>0</v>
      </c>
      <c r="F27" s="27">
        <f t="shared" si="1"/>
        <v>0</v>
      </c>
    </row>
    <row r="28" spans="1:8" x14ac:dyDescent="0.3">
      <c r="D28" s="47"/>
      <c r="E28">
        <f>SUM(E3:E27)</f>
        <v>39</v>
      </c>
      <c r="F28" s="27"/>
    </row>
    <row r="29" spans="1:8" x14ac:dyDescent="0.3">
      <c r="F29" s="39" t="s">
        <v>98</v>
      </c>
      <c r="H29" s="39" t="s">
        <v>101</v>
      </c>
    </row>
    <row r="30" spans="1:8" x14ac:dyDescent="0.3">
      <c r="F30" s="39">
        <f>(SUM(F3:F29))*1.94</f>
        <v>760094.59960000007</v>
      </c>
      <c r="H30" s="39">
        <f>F30*12</f>
        <v>9121135.1952</v>
      </c>
    </row>
    <row r="32" spans="1:8" x14ac:dyDescent="0.3">
      <c r="H32" t="s">
        <v>102</v>
      </c>
    </row>
    <row r="33" spans="8:8" x14ac:dyDescent="0.3">
      <c r="H33" s="41">
        <v>7875410.5</v>
      </c>
    </row>
  </sheetData>
  <mergeCells count="1">
    <mergeCell ref="A24:F2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67976-E958-4DF7-8DDC-4ABF8C830ABE}">
  <dimension ref="A2:H28"/>
  <sheetViews>
    <sheetView topLeftCell="A2"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2.88671875" style="28" bestFit="1" customWidth="1"/>
    <col min="5" max="5" width="8" bestFit="1" customWidth="1"/>
    <col min="6" max="6" width="16" style="28" bestFit="1" customWidth="1"/>
    <col min="8" max="8" width="15.5546875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6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27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27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27">
        <v>7519.48</v>
      </c>
      <c r="E5" s="25">
        <v>3</v>
      </c>
      <c r="F5" s="27">
        <f t="shared" si="0"/>
        <v>22558.44</v>
      </c>
    </row>
    <row r="6" spans="1:6" x14ac:dyDescent="0.3">
      <c r="A6" s="25"/>
      <c r="B6" s="25" t="s">
        <v>60</v>
      </c>
      <c r="C6" s="25"/>
      <c r="D6" s="27">
        <v>10677.45</v>
      </c>
      <c r="E6" s="25">
        <v>1</v>
      </c>
      <c r="F6" s="27">
        <f t="shared" si="0"/>
        <v>10677.45</v>
      </c>
    </row>
    <row r="7" spans="1:6" x14ac:dyDescent="0.3">
      <c r="A7" s="25"/>
      <c r="B7" s="25" t="s">
        <v>61</v>
      </c>
      <c r="C7" s="25"/>
      <c r="D7" s="27">
        <v>14016.77</v>
      </c>
      <c r="E7" s="25">
        <v>6</v>
      </c>
      <c r="F7" s="27">
        <f t="shared" si="0"/>
        <v>84100.62</v>
      </c>
    </row>
    <row r="8" spans="1:6" x14ac:dyDescent="0.3">
      <c r="A8" s="25"/>
      <c r="B8" s="25" t="s">
        <v>62</v>
      </c>
      <c r="C8" s="25"/>
      <c r="D8" s="27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27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27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27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27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27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27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27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27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27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27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27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27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27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27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27">
        <v>11081.16</v>
      </c>
      <c r="E23" s="25">
        <v>0</v>
      </c>
      <c r="F23" s="27">
        <f t="shared" si="0"/>
        <v>0</v>
      </c>
    </row>
    <row r="24" spans="1:8" x14ac:dyDescent="0.3">
      <c r="E24">
        <f>SUM(E3:E23)</f>
        <v>10</v>
      </c>
      <c r="F24" s="39" t="s">
        <v>98</v>
      </c>
      <c r="H24" s="39" t="s">
        <v>101</v>
      </c>
    </row>
    <row r="25" spans="1:8" x14ac:dyDescent="0.3">
      <c r="D25" s="28" t="s">
        <v>98</v>
      </c>
      <c r="F25" s="39">
        <f>(SUM(F3:F24))*1.94</f>
        <v>227632.82939999999</v>
      </c>
      <c r="H25" s="39">
        <f>F25*12</f>
        <v>2731593.9528000001</v>
      </c>
    </row>
    <row r="27" spans="1:8" x14ac:dyDescent="0.3">
      <c r="H27" t="s">
        <v>102</v>
      </c>
    </row>
    <row r="28" spans="1:8" x14ac:dyDescent="0.3">
      <c r="H28" s="41">
        <v>2288327.3199999998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E19A-09F4-4492-9AF0-BD1D2F8D097F}">
  <dimension ref="A2:H28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2.88671875" style="28" bestFit="1" customWidth="1"/>
    <col min="5" max="5" width="8" bestFit="1" customWidth="1"/>
    <col min="6" max="6" width="16" bestFit="1" customWidth="1"/>
    <col min="8" max="8" width="15.5546875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6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27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27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27">
        <v>7519.48</v>
      </c>
      <c r="E5" s="25">
        <v>0</v>
      </c>
      <c r="F5" s="27">
        <f t="shared" si="0"/>
        <v>0</v>
      </c>
    </row>
    <row r="6" spans="1:6" x14ac:dyDescent="0.3">
      <c r="A6" s="25"/>
      <c r="B6" s="25" t="s">
        <v>60</v>
      </c>
      <c r="C6" s="25"/>
      <c r="D6" s="27">
        <v>10677.45</v>
      </c>
      <c r="E6" s="25">
        <v>1</v>
      </c>
      <c r="F6" s="27">
        <f t="shared" si="0"/>
        <v>10677.45</v>
      </c>
    </row>
    <row r="7" spans="1:6" x14ac:dyDescent="0.3">
      <c r="A7" s="25"/>
      <c r="B7" s="25" t="s">
        <v>61</v>
      </c>
      <c r="C7" s="25"/>
      <c r="D7" s="27">
        <v>14016.77</v>
      </c>
      <c r="E7" s="25">
        <v>3</v>
      </c>
      <c r="F7" s="27">
        <f t="shared" si="0"/>
        <v>42050.31</v>
      </c>
    </row>
    <row r="8" spans="1:6" x14ac:dyDescent="0.3">
      <c r="A8" s="25"/>
      <c r="B8" s="25" t="s">
        <v>62</v>
      </c>
      <c r="C8" s="25"/>
      <c r="D8" s="27">
        <v>15901.68</v>
      </c>
      <c r="E8" s="25">
        <v>1</v>
      </c>
      <c r="F8" s="27">
        <f t="shared" si="0"/>
        <v>15901.68</v>
      </c>
    </row>
    <row r="9" spans="1:6" x14ac:dyDescent="0.3">
      <c r="A9" s="25"/>
      <c r="B9" s="25" t="s">
        <v>63</v>
      </c>
      <c r="C9" s="25"/>
      <c r="D9" s="27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27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27">
        <v>11227.93</v>
      </c>
      <c r="E11" s="25">
        <v>1</v>
      </c>
      <c r="F11" s="27">
        <f t="shared" si="0"/>
        <v>11227.93</v>
      </c>
    </row>
    <row r="12" spans="1:6" x14ac:dyDescent="0.3">
      <c r="A12" s="25"/>
      <c r="B12" s="25" t="s">
        <v>66</v>
      </c>
      <c r="C12" s="25"/>
      <c r="D12" s="27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27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27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27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27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27">
        <v>11732.2</v>
      </c>
      <c r="E17" s="25">
        <v>1</v>
      </c>
      <c r="F17" s="27">
        <f t="shared" si="0"/>
        <v>11732.2</v>
      </c>
    </row>
    <row r="18" spans="1:8" x14ac:dyDescent="0.3">
      <c r="A18" s="25"/>
      <c r="B18" s="25" t="s">
        <v>40</v>
      </c>
      <c r="C18" s="25"/>
      <c r="D18" s="27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27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27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27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27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27">
        <v>11081.16</v>
      </c>
      <c r="E23" s="25">
        <v>0</v>
      </c>
      <c r="F23" s="27">
        <f t="shared" si="0"/>
        <v>0</v>
      </c>
    </row>
    <row r="24" spans="1:8" x14ac:dyDescent="0.3">
      <c r="E24">
        <f>SUM(E3:E23)</f>
        <v>7</v>
      </c>
      <c r="F24" s="39" t="s">
        <v>98</v>
      </c>
      <c r="H24" s="39" t="s">
        <v>101</v>
      </c>
    </row>
    <row r="25" spans="1:8" x14ac:dyDescent="0.3">
      <c r="F25" s="39">
        <f>(SUM(F3:F24))*1.94</f>
        <v>177683.76579999999</v>
      </c>
      <c r="H25" s="39">
        <f>F25*12</f>
        <v>2132205.1896000002</v>
      </c>
    </row>
    <row r="28" spans="1:8" x14ac:dyDescent="0.3">
      <c r="H28" s="41">
        <v>2073438.13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3CBF-351B-4651-AEB1-C029970BEE4E}">
  <dimension ref="A2:H29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2.88671875" style="28" bestFit="1" customWidth="1"/>
    <col min="5" max="5" width="8" bestFit="1" customWidth="1"/>
    <col min="6" max="6" width="16" bestFit="1" customWidth="1"/>
    <col min="8" max="8" width="14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6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27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27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27">
        <v>7519.48</v>
      </c>
      <c r="E5" s="25">
        <v>1</v>
      </c>
      <c r="F5" s="27">
        <f t="shared" si="0"/>
        <v>7519.48</v>
      </c>
    </row>
    <row r="6" spans="1:6" x14ac:dyDescent="0.3">
      <c r="A6" s="25"/>
      <c r="B6" s="25" t="s">
        <v>60</v>
      </c>
      <c r="C6" s="25"/>
      <c r="D6" s="27">
        <v>10677.45</v>
      </c>
      <c r="E6" s="25">
        <v>0</v>
      </c>
      <c r="F6" s="27">
        <f t="shared" si="0"/>
        <v>0</v>
      </c>
    </row>
    <row r="7" spans="1:6" x14ac:dyDescent="0.3">
      <c r="A7" s="25"/>
      <c r="B7" s="25" t="s">
        <v>61</v>
      </c>
      <c r="C7" s="25"/>
      <c r="D7" s="27">
        <v>14016.77</v>
      </c>
      <c r="E7" s="25">
        <v>0</v>
      </c>
      <c r="F7" s="27">
        <f t="shared" si="0"/>
        <v>0</v>
      </c>
    </row>
    <row r="8" spans="1:6" x14ac:dyDescent="0.3">
      <c r="A8" s="25"/>
      <c r="B8" s="25" t="s">
        <v>62</v>
      </c>
      <c r="C8" s="25"/>
      <c r="D8" s="27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27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27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27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27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27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27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27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27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27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27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27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27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27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27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27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14587.791199999998</v>
      </c>
      <c r="H25" s="39">
        <f>F25*12</f>
        <v>175053.49439999997</v>
      </c>
    </row>
    <row r="28" spans="1:8" x14ac:dyDescent="0.3">
      <c r="H28" s="42"/>
    </row>
    <row r="29" spans="1:8" ht="15.6" x14ac:dyDescent="0.3">
      <c r="H29" s="43">
        <v>154872.43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EB9A-ACC3-496D-9C48-375AD758AC22}">
  <dimension ref="A2:H28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2.88671875" style="28" bestFit="1" customWidth="1"/>
    <col min="5" max="5" width="8" bestFit="1" customWidth="1"/>
    <col min="6" max="6" width="16" bestFit="1" customWidth="1"/>
    <col min="8" max="8" width="14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6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27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27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27">
        <v>7519.48</v>
      </c>
      <c r="E5" s="25">
        <v>3</v>
      </c>
      <c r="F5" s="27">
        <f t="shared" si="0"/>
        <v>22558.44</v>
      </c>
    </row>
    <row r="6" spans="1:6" x14ac:dyDescent="0.3">
      <c r="A6" s="25"/>
      <c r="B6" s="25" t="s">
        <v>60</v>
      </c>
      <c r="C6" s="25"/>
      <c r="D6" s="27">
        <v>10677.45</v>
      </c>
      <c r="E6" s="25">
        <v>1</v>
      </c>
      <c r="F6" s="27">
        <f t="shared" si="0"/>
        <v>10677.45</v>
      </c>
    </row>
    <row r="7" spans="1:6" x14ac:dyDescent="0.3">
      <c r="A7" s="25"/>
      <c r="B7" s="25" t="s">
        <v>61</v>
      </c>
      <c r="C7" s="25"/>
      <c r="D7" s="27">
        <v>14016.77</v>
      </c>
      <c r="E7" s="25">
        <v>0</v>
      </c>
      <c r="F7" s="27">
        <f t="shared" si="0"/>
        <v>0</v>
      </c>
    </row>
    <row r="8" spans="1:6" x14ac:dyDescent="0.3">
      <c r="A8" s="25"/>
      <c r="B8" s="25" t="s">
        <v>62</v>
      </c>
      <c r="C8" s="25"/>
      <c r="D8" s="27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27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27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27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27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27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27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27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27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27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27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27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27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27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27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27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64477.626599999996</v>
      </c>
      <c r="H25" s="39">
        <f>F25*12</f>
        <v>773731.51919999998</v>
      </c>
    </row>
    <row r="28" spans="1:8" x14ac:dyDescent="0.3">
      <c r="H28" s="41">
        <v>721401.62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6CFC-8E81-40AB-81F3-93B8DDD81865}">
  <dimension ref="A2:H28"/>
  <sheetViews>
    <sheetView workbookViewId="0">
      <selection activeCell="I20" sqref="I20"/>
    </sheetView>
  </sheetViews>
  <sheetFormatPr defaultRowHeight="14.4" x14ac:dyDescent="0.3"/>
  <cols>
    <col min="1" max="1" width="7.88671875" bestFit="1" customWidth="1"/>
    <col min="2" max="2" width="44.5546875" bestFit="1" customWidth="1"/>
    <col min="3" max="3" width="14.109375" customWidth="1"/>
    <col min="4" max="4" width="11.5546875" bestFit="1" customWidth="1"/>
    <col min="5" max="5" width="8" bestFit="1" customWidth="1"/>
    <col min="6" max="6" width="20" customWidth="1"/>
    <col min="8" max="8" width="15.5546875" bestFit="1" customWidth="1"/>
  </cols>
  <sheetData>
    <row r="2" spans="1:6" ht="43.2" x14ac:dyDescent="0.3">
      <c r="A2" s="24" t="s">
        <v>50</v>
      </c>
      <c r="B2" s="24" t="s">
        <v>2</v>
      </c>
      <c r="C2" s="24" t="s">
        <v>51</v>
      </c>
      <c r="D2" s="24" t="s">
        <v>52</v>
      </c>
      <c r="E2" s="24" t="s">
        <v>53</v>
      </c>
      <c r="F2" s="24" t="s">
        <v>99</v>
      </c>
    </row>
    <row r="3" spans="1:6" x14ac:dyDescent="0.3">
      <c r="A3" s="25"/>
      <c r="B3" s="25" t="s">
        <v>54</v>
      </c>
      <c r="C3" s="25"/>
      <c r="D3" s="38">
        <v>12073.7</v>
      </c>
      <c r="E3" s="25">
        <v>0</v>
      </c>
      <c r="F3" s="27">
        <f>E3*D3</f>
        <v>0</v>
      </c>
    </row>
    <row r="4" spans="1:6" x14ac:dyDescent="0.3">
      <c r="A4" s="25"/>
      <c r="B4" s="25" t="s">
        <v>55</v>
      </c>
      <c r="C4" s="25"/>
      <c r="D4" s="38">
        <v>18084.53</v>
      </c>
      <c r="E4" s="25">
        <v>0</v>
      </c>
      <c r="F4" s="27">
        <f t="shared" ref="F4:F23" si="0">E4*D4</f>
        <v>0</v>
      </c>
    </row>
    <row r="5" spans="1:6" x14ac:dyDescent="0.3">
      <c r="A5" s="25"/>
      <c r="B5" s="25" t="s">
        <v>59</v>
      </c>
      <c r="C5" s="25"/>
      <c r="D5" s="38">
        <v>7519.48</v>
      </c>
      <c r="E5" s="25">
        <v>3</v>
      </c>
      <c r="F5" s="27">
        <f t="shared" si="0"/>
        <v>22558.44</v>
      </c>
    </row>
    <row r="6" spans="1:6" x14ac:dyDescent="0.3">
      <c r="A6" s="25"/>
      <c r="B6" s="25" t="s">
        <v>60</v>
      </c>
      <c r="C6" s="25"/>
      <c r="D6" s="38">
        <v>10677.45</v>
      </c>
      <c r="E6" s="25">
        <v>0</v>
      </c>
      <c r="F6" s="27">
        <f t="shared" si="0"/>
        <v>0</v>
      </c>
    </row>
    <row r="7" spans="1:6" x14ac:dyDescent="0.3">
      <c r="A7" s="25"/>
      <c r="B7" s="25" t="s">
        <v>61</v>
      </c>
      <c r="C7" s="25"/>
      <c r="D7" s="38">
        <v>14016.77</v>
      </c>
      <c r="E7" s="25">
        <v>1</v>
      </c>
      <c r="F7" s="27">
        <f t="shared" si="0"/>
        <v>14016.77</v>
      </c>
    </row>
    <row r="8" spans="1:6" x14ac:dyDescent="0.3">
      <c r="A8" s="25"/>
      <c r="B8" s="25" t="s">
        <v>62</v>
      </c>
      <c r="C8" s="25"/>
      <c r="D8" s="38">
        <v>15901.68</v>
      </c>
      <c r="E8" s="25">
        <v>0</v>
      </c>
      <c r="F8" s="27">
        <f t="shared" si="0"/>
        <v>0</v>
      </c>
    </row>
    <row r="9" spans="1:6" x14ac:dyDescent="0.3">
      <c r="A9" s="25"/>
      <c r="B9" s="25" t="s">
        <v>63</v>
      </c>
      <c r="C9" s="25"/>
      <c r="D9" s="38">
        <v>6567.23</v>
      </c>
      <c r="E9" s="25">
        <v>0</v>
      </c>
      <c r="F9" s="27">
        <f t="shared" si="0"/>
        <v>0</v>
      </c>
    </row>
    <row r="10" spans="1:6" x14ac:dyDescent="0.3">
      <c r="A10" s="25"/>
      <c r="B10" s="25" t="s">
        <v>64</v>
      </c>
      <c r="C10" s="25"/>
      <c r="D10" s="38">
        <v>8744.98</v>
      </c>
      <c r="E10" s="25">
        <v>0</v>
      </c>
      <c r="F10" s="27">
        <f t="shared" si="0"/>
        <v>0</v>
      </c>
    </row>
    <row r="11" spans="1:6" x14ac:dyDescent="0.3">
      <c r="A11" s="25"/>
      <c r="B11" s="25" t="s">
        <v>65</v>
      </c>
      <c r="C11" s="25"/>
      <c r="D11" s="38">
        <v>11227.93</v>
      </c>
      <c r="E11" s="25">
        <v>0</v>
      </c>
      <c r="F11" s="27">
        <f t="shared" si="0"/>
        <v>0</v>
      </c>
    </row>
    <row r="12" spans="1:6" x14ac:dyDescent="0.3">
      <c r="A12" s="25"/>
      <c r="B12" s="25" t="s">
        <v>66</v>
      </c>
      <c r="C12" s="25"/>
      <c r="D12" s="38">
        <v>6750.64</v>
      </c>
      <c r="E12" s="25">
        <v>0</v>
      </c>
      <c r="F12" s="27">
        <f t="shared" si="0"/>
        <v>0</v>
      </c>
    </row>
    <row r="13" spans="1:6" x14ac:dyDescent="0.3">
      <c r="A13" s="25"/>
      <c r="B13" s="25" t="s">
        <v>67</v>
      </c>
      <c r="C13" s="25"/>
      <c r="D13" s="38">
        <v>10110.31</v>
      </c>
      <c r="E13" s="25">
        <v>0</v>
      </c>
      <c r="F13" s="27">
        <f t="shared" si="0"/>
        <v>0</v>
      </c>
    </row>
    <row r="14" spans="1:6" x14ac:dyDescent="0.3">
      <c r="A14" s="25"/>
      <c r="B14" s="25" t="s">
        <v>68</v>
      </c>
      <c r="C14" s="25"/>
      <c r="D14" s="38">
        <v>13497.19</v>
      </c>
      <c r="E14" s="25">
        <v>0</v>
      </c>
      <c r="F14" s="27">
        <f t="shared" si="0"/>
        <v>0</v>
      </c>
    </row>
    <row r="15" spans="1:6" x14ac:dyDescent="0.3">
      <c r="A15" s="25"/>
      <c r="B15" s="25" t="s">
        <v>69</v>
      </c>
      <c r="C15" s="25"/>
      <c r="D15" s="38">
        <v>7714.04</v>
      </c>
      <c r="E15" s="25">
        <v>0</v>
      </c>
      <c r="F15" s="27">
        <f t="shared" si="0"/>
        <v>0</v>
      </c>
    </row>
    <row r="16" spans="1:6" x14ac:dyDescent="0.3">
      <c r="A16" s="25"/>
      <c r="B16" s="25" t="s">
        <v>70</v>
      </c>
      <c r="C16" s="25"/>
      <c r="D16" s="38">
        <v>12115.48</v>
      </c>
      <c r="E16" s="25">
        <v>0</v>
      </c>
      <c r="F16" s="27">
        <f t="shared" si="0"/>
        <v>0</v>
      </c>
    </row>
    <row r="17" spans="1:8" x14ac:dyDescent="0.3">
      <c r="A17" s="25"/>
      <c r="B17" s="25" t="s">
        <v>71</v>
      </c>
      <c r="C17" s="25"/>
      <c r="D17" s="38">
        <v>11732.2</v>
      </c>
      <c r="E17" s="25">
        <v>0</v>
      </c>
      <c r="F17" s="27">
        <f t="shared" si="0"/>
        <v>0</v>
      </c>
    </row>
    <row r="18" spans="1:8" x14ac:dyDescent="0.3">
      <c r="A18" s="25"/>
      <c r="B18" s="25" t="s">
        <v>40</v>
      </c>
      <c r="C18" s="25"/>
      <c r="D18" s="38">
        <v>13949.62</v>
      </c>
      <c r="E18" s="25">
        <v>0</v>
      </c>
      <c r="F18" s="27">
        <f t="shared" si="0"/>
        <v>0</v>
      </c>
    </row>
    <row r="19" spans="1:8" x14ac:dyDescent="0.3">
      <c r="A19" s="25"/>
      <c r="B19" s="25" t="s">
        <v>72</v>
      </c>
      <c r="C19" s="25"/>
      <c r="D19" s="38">
        <v>8114.39</v>
      </c>
      <c r="E19" s="25">
        <v>0</v>
      </c>
      <c r="F19" s="27">
        <f t="shared" si="0"/>
        <v>0</v>
      </c>
    </row>
    <row r="20" spans="1:8" x14ac:dyDescent="0.3">
      <c r="A20" s="25"/>
      <c r="B20" s="25" t="s">
        <v>73</v>
      </c>
      <c r="C20" s="25"/>
      <c r="D20" s="38">
        <v>10463.07</v>
      </c>
      <c r="E20" s="25">
        <v>0</v>
      </c>
      <c r="F20" s="27">
        <f t="shared" si="0"/>
        <v>0</v>
      </c>
    </row>
    <row r="21" spans="1:8" x14ac:dyDescent="0.3">
      <c r="A21" s="25"/>
      <c r="B21" s="25" t="s">
        <v>56</v>
      </c>
      <c r="C21" s="25"/>
      <c r="D21" s="38">
        <v>5412.32</v>
      </c>
      <c r="E21" s="25">
        <v>0</v>
      </c>
      <c r="F21" s="27">
        <f t="shared" si="0"/>
        <v>0</v>
      </c>
    </row>
    <row r="22" spans="1:8" x14ac:dyDescent="0.3">
      <c r="A22" s="25"/>
      <c r="B22" s="25" t="s">
        <v>57</v>
      </c>
      <c r="C22" s="25"/>
      <c r="D22" s="38">
        <v>7795.75</v>
      </c>
      <c r="E22" s="25">
        <v>0</v>
      </c>
      <c r="F22" s="27">
        <f t="shared" si="0"/>
        <v>0</v>
      </c>
    </row>
    <row r="23" spans="1:8" x14ac:dyDescent="0.3">
      <c r="A23" s="25"/>
      <c r="B23" s="25" t="s">
        <v>58</v>
      </c>
      <c r="C23" s="25"/>
      <c r="D23" s="38">
        <v>11081.16</v>
      </c>
      <c r="E23" s="25">
        <v>0</v>
      </c>
      <c r="F23" s="27">
        <f t="shared" si="0"/>
        <v>0</v>
      </c>
    </row>
    <row r="24" spans="1:8" x14ac:dyDescent="0.3">
      <c r="F24" s="39" t="s">
        <v>98</v>
      </c>
      <c r="H24" s="39" t="s">
        <v>101</v>
      </c>
    </row>
    <row r="25" spans="1:8" x14ac:dyDescent="0.3">
      <c r="F25" s="39">
        <f>(SUM(F3:F24))*1.94</f>
        <v>70955.907399999996</v>
      </c>
      <c r="H25" s="39">
        <f>F25*12</f>
        <v>851470.88879999996</v>
      </c>
    </row>
    <row r="28" spans="1:8" x14ac:dyDescent="0.3">
      <c r="H28" s="41">
        <v>322066.88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0f2ed3-700b-4c7c-8051-820e08bcb1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661E38BC701D49BB084DE266BEA4D6" ma:contentTypeVersion="16" ma:contentTypeDescription="Crie um novo documento." ma:contentTypeScope="" ma:versionID="bb2cc5b62deb91d2cbb89dc7c4d9d212">
  <xsd:schema xmlns:xsd="http://www.w3.org/2001/XMLSchema" xmlns:xs="http://www.w3.org/2001/XMLSchema" xmlns:p="http://schemas.microsoft.com/office/2006/metadata/properties" xmlns:ns3="3a0f2ed3-700b-4c7c-8051-820e08bcb14e" xmlns:ns4="5cfc14df-58e9-4887-83e4-0d495e3dc585" targetNamespace="http://schemas.microsoft.com/office/2006/metadata/properties" ma:root="true" ma:fieldsID="7bed4d25418e1b3b83ccd2c185952f4f" ns3:_="" ns4:_="">
    <xsd:import namespace="3a0f2ed3-700b-4c7c-8051-820e08bcb14e"/>
    <xsd:import namespace="5cfc14df-58e9-4887-83e4-0d495e3dc5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f2ed3-700b-4c7c-8051-820e08bcb1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c14df-58e9-4887-83e4-0d495e3dc5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66B67A-C531-444E-92F0-C8FA0416A0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30895-7C66-49AA-A4BE-900716497B46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5cfc14df-58e9-4887-83e4-0d495e3dc585"/>
    <ds:schemaRef ds:uri="http://schemas.microsoft.com/office/infopath/2007/PartnerControls"/>
    <ds:schemaRef ds:uri="http://schemas.openxmlformats.org/package/2006/metadata/core-properties"/>
    <ds:schemaRef ds:uri="3a0f2ed3-700b-4c7c-8051-820e08bcb14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B065B7-7BAB-471C-8E75-133D0FF29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0f2ed3-700b-4c7c-8051-820e08bcb14e"/>
    <ds:schemaRef ds:uri="5cfc14df-58e9-4887-83e4-0d495e3dc5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ANTERIOR X ATUAL</vt:lpstr>
      <vt:lpstr>TOTAL EDITAL</vt:lpstr>
      <vt:lpstr>MODELO</vt:lpstr>
      <vt:lpstr>COGETIC</vt:lpstr>
      <vt:lpstr>ENSP</vt:lpstr>
      <vt:lpstr>CDTS</vt:lpstr>
      <vt:lpstr>CEARA</vt:lpstr>
      <vt:lpstr>IAM</vt:lpstr>
      <vt:lpstr>ICICT</vt:lpstr>
      <vt:lpstr>ICTB</vt:lpstr>
      <vt:lpstr>IFF</vt:lpstr>
      <vt:lpstr>INCQS</vt:lpstr>
      <vt:lpstr>BIO</vt:lpstr>
      <vt:lpstr>IGM</vt:lpstr>
      <vt:lpstr>MANAUS</vt:lpstr>
      <vt:lpstr>FAR</vt:lpstr>
      <vt:lpstr>INI</vt:lpstr>
      <vt:lpstr>IOC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Antunes Eckhardt</dc:creator>
  <cp:lastModifiedBy>Jean Pierre Volponi Patricio</cp:lastModifiedBy>
  <dcterms:created xsi:type="dcterms:W3CDTF">2023-10-23T14:36:43Z</dcterms:created>
  <dcterms:modified xsi:type="dcterms:W3CDTF">2024-02-22T13:01:16Z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0x010100EB661E38BC701D49BB084DE266BEA4D6</vt:lpwstr>
  </property>
</Properties>
</file>